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die/controlearduino/Elodie_Jupyter/"/>
    </mc:Choice>
  </mc:AlternateContent>
  <xr:revisionPtr revIDLastSave="0" documentId="13_ncr:1_{9668AAEB-EDB4-7E49-88A4-59ADA5C8F51D}" xr6:coauthVersionLast="45" xr6:coauthVersionMax="45" xr10:uidLastSave="{00000000-0000-0000-0000-000000000000}"/>
  <bookViews>
    <workbookView xWindow="36980" yWindow="1960" windowWidth="28820" windowHeight="18540" activeTab="4" xr2:uid="{D960D652-1320-AD46-A8A7-00CC8CF259BE}"/>
  </bookViews>
  <sheets>
    <sheet name="Summary" sheetId="2" r:id="rId1"/>
    <sheet name="Probs" sheetId="6" r:id="rId2"/>
    <sheet name="0.175" sheetId="5" r:id="rId3"/>
    <sheet name="PerUser" sheetId="3" r:id="rId4"/>
    <sheet name="PerTarget" sheetId="4" r:id="rId5"/>
    <sheet name="Feuil1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5" l="1"/>
  <c r="J11" i="5"/>
  <c r="I37" i="3" l="1"/>
  <c r="I36" i="3"/>
  <c r="P26" i="6"/>
  <c r="P28" i="6"/>
  <c r="P30" i="6"/>
  <c r="P32" i="6"/>
  <c r="P24" i="6"/>
  <c r="G14" i="6" l="1"/>
  <c r="G13" i="6"/>
  <c r="F14" i="6"/>
  <c r="F13" i="6"/>
  <c r="E14" i="6"/>
  <c r="E13" i="6"/>
  <c r="D14" i="6"/>
  <c r="D13" i="6"/>
  <c r="C14" i="6"/>
  <c r="C13" i="6"/>
  <c r="M28" i="6" l="1"/>
  <c r="N28" i="6" s="1"/>
  <c r="L28" i="6"/>
  <c r="K28" i="6"/>
  <c r="J28" i="6"/>
  <c r="I28" i="6"/>
  <c r="H28" i="6"/>
  <c r="G28" i="6"/>
  <c r="F28" i="6"/>
  <c r="E28" i="6"/>
  <c r="D28" i="6"/>
  <c r="C28" i="6"/>
  <c r="B28" i="6"/>
  <c r="M26" i="6" l="1"/>
  <c r="N26" i="6" s="1"/>
  <c r="L26" i="6"/>
  <c r="K26" i="6"/>
  <c r="J26" i="6"/>
  <c r="I26" i="6"/>
  <c r="H26" i="6"/>
  <c r="G26" i="6"/>
  <c r="F26" i="6"/>
  <c r="E26" i="6"/>
  <c r="D26" i="6"/>
  <c r="C26" i="6"/>
  <c r="B26" i="6"/>
  <c r="D12" i="6" l="1"/>
  <c r="E12" i="6"/>
  <c r="F12" i="6"/>
  <c r="G12" i="6"/>
  <c r="C12" i="6"/>
  <c r="C20" i="6"/>
  <c r="C11" i="6"/>
  <c r="D11" i="6"/>
  <c r="E11" i="6"/>
  <c r="F11" i="6"/>
  <c r="G11" i="6"/>
  <c r="H8" i="5" l="1"/>
  <c r="M10" i="5" s="1"/>
  <c r="H7" i="5"/>
  <c r="D7" i="5"/>
  <c r="E7" i="5"/>
  <c r="F7" i="5"/>
  <c r="G7" i="5"/>
  <c r="D8" i="5"/>
  <c r="E8" i="5"/>
  <c r="F8" i="5"/>
  <c r="C8" i="5"/>
  <c r="C7" i="5"/>
  <c r="N25" i="4" l="1"/>
  <c r="O25" i="4"/>
  <c r="P25" i="4"/>
  <c r="Q25" i="4"/>
  <c r="M25" i="4"/>
  <c r="V39" i="2"/>
  <c r="W67" i="2" l="1"/>
  <c r="W66" i="2"/>
  <c r="W65" i="2"/>
  <c r="W64" i="2"/>
  <c r="W63" i="2"/>
  <c r="W62" i="2"/>
  <c r="E2" i="3" l="1"/>
  <c r="E14" i="3"/>
  <c r="E25" i="3"/>
  <c r="E37" i="3"/>
  <c r="E49" i="3"/>
  <c r="E60" i="3"/>
  <c r="L39" i="4" l="1"/>
  <c r="L51" i="4" s="1"/>
  <c r="L41" i="4"/>
  <c r="L53" i="4" s="1"/>
  <c r="J3" i="4"/>
  <c r="N35" i="4" s="1"/>
  <c r="N47" i="4" s="1"/>
  <c r="K3" i="4"/>
  <c r="O35" i="4" s="1"/>
  <c r="O47" i="4" s="1"/>
  <c r="L3" i="4"/>
  <c r="P35" i="4" s="1"/>
  <c r="P47" i="4" s="1"/>
  <c r="M3" i="4"/>
  <c r="Q35" i="4" s="1"/>
  <c r="Q47" i="4" s="1"/>
  <c r="J4" i="4"/>
  <c r="N36" i="4" s="1"/>
  <c r="N48" i="4" s="1"/>
  <c r="K4" i="4"/>
  <c r="O36" i="4" s="1"/>
  <c r="O48" i="4" s="1"/>
  <c r="L4" i="4"/>
  <c r="P36" i="4" s="1"/>
  <c r="P48" i="4" s="1"/>
  <c r="M4" i="4"/>
  <c r="Q36" i="4" s="1"/>
  <c r="Q48" i="4" s="1"/>
  <c r="J5" i="4"/>
  <c r="N37" i="4" s="1"/>
  <c r="N49" i="4" s="1"/>
  <c r="K5" i="4"/>
  <c r="O37" i="4" s="1"/>
  <c r="O49" i="4" s="1"/>
  <c r="L5" i="4"/>
  <c r="P37" i="4" s="1"/>
  <c r="P49" i="4" s="1"/>
  <c r="M5" i="4"/>
  <c r="Q37" i="4" s="1"/>
  <c r="Q49" i="4" s="1"/>
  <c r="J6" i="4"/>
  <c r="N38" i="4" s="1"/>
  <c r="N50" i="4" s="1"/>
  <c r="K6" i="4"/>
  <c r="O38" i="4" s="1"/>
  <c r="O50" i="4" s="1"/>
  <c r="L6" i="4"/>
  <c r="P38" i="4" s="1"/>
  <c r="P50" i="4" s="1"/>
  <c r="M6" i="4"/>
  <c r="Q38" i="4" s="1"/>
  <c r="Q50" i="4" s="1"/>
  <c r="J7" i="4"/>
  <c r="N40" i="4" s="1"/>
  <c r="N52" i="4" s="1"/>
  <c r="K7" i="4"/>
  <c r="O40" i="4" s="1"/>
  <c r="O52" i="4" s="1"/>
  <c r="L7" i="4"/>
  <c r="P40" i="4" s="1"/>
  <c r="P52" i="4" s="1"/>
  <c r="M7" i="4"/>
  <c r="Q40" i="4" s="1"/>
  <c r="Q52" i="4" s="1"/>
  <c r="J8" i="4"/>
  <c r="N42" i="4" s="1"/>
  <c r="N54" i="4" s="1"/>
  <c r="K8" i="4"/>
  <c r="O42" i="4" s="1"/>
  <c r="O54" i="4" s="1"/>
  <c r="L8" i="4"/>
  <c r="P42" i="4" s="1"/>
  <c r="P54" i="4" s="1"/>
  <c r="M8" i="4"/>
  <c r="Q42" i="4" s="1"/>
  <c r="Q54" i="4" s="1"/>
  <c r="J9" i="4"/>
  <c r="N43" i="4" s="1"/>
  <c r="N55" i="4" s="1"/>
  <c r="K9" i="4"/>
  <c r="O43" i="4" s="1"/>
  <c r="O55" i="4" s="1"/>
  <c r="L9" i="4"/>
  <c r="P43" i="4" s="1"/>
  <c r="P55" i="4" s="1"/>
  <c r="M9" i="4"/>
  <c r="Q43" i="4" s="1"/>
  <c r="Q55" i="4" s="1"/>
  <c r="J10" i="4"/>
  <c r="N44" i="4" s="1"/>
  <c r="N56" i="4" s="1"/>
  <c r="K10" i="4"/>
  <c r="O44" i="4" s="1"/>
  <c r="O56" i="4" s="1"/>
  <c r="L10" i="4"/>
  <c r="P44" i="4" s="1"/>
  <c r="P56" i="4" s="1"/>
  <c r="M10" i="4"/>
  <c r="Q44" i="4" s="1"/>
  <c r="Q56" i="4" s="1"/>
  <c r="J11" i="4"/>
  <c r="N45" i="4" s="1"/>
  <c r="N57" i="4" s="1"/>
  <c r="K11" i="4"/>
  <c r="O45" i="4" s="1"/>
  <c r="O57" i="4" s="1"/>
  <c r="L11" i="4"/>
  <c r="P45" i="4" s="1"/>
  <c r="P57" i="4" s="1"/>
  <c r="M11" i="4"/>
  <c r="Q45" i="4" s="1"/>
  <c r="Q57" i="4" s="1"/>
  <c r="J12" i="4"/>
  <c r="N39" i="4" s="1"/>
  <c r="N51" i="4" s="1"/>
  <c r="K12" i="4"/>
  <c r="O39" i="4" s="1"/>
  <c r="O51" i="4" s="1"/>
  <c r="L12" i="4"/>
  <c r="P39" i="4" s="1"/>
  <c r="P51" i="4" s="1"/>
  <c r="M12" i="4"/>
  <c r="Q39" i="4" s="1"/>
  <c r="Q51" i="4" s="1"/>
  <c r="J13" i="4"/>
  <c r="N41" i="4" s="1"/>
  <c r="N53" i="4" s="1"/>
  <c r="K13" i="4"/>
  <c r="O41" i="4" s="1"/>
  <c r="O53" i="4" s="1"/>
  <c r="L13" i="4"/>
  <c r="P41" i="4" s="1"/>
  <c r="P53" i="4" s="1"/>
  <c r="M13" i="4"/>
  <c r="Q41" i="4" s="1"/>
  <c r="Q53" i="4" s="1"/>
  <c r="I4" i="4"/>
  <c r="M36" i="4" s="1"/>
  <c r="M48" i="4" s="1"/>
  <c r="I5" i="4"/>
  <c r="M37" i="4" s="1"/>
  <c r="M49" i="4" s="1"/>
  <c r="I6" i="4"/>
  <c r="M38" i="4" s="1"/>
  <c r="M50" i="4" s="1"/>
  <c r="I7" i="4"/>
  <c r="M40" i="4" s="1"/>
  <c r="M52" i="4" s="1"/>
  <c r="I8" i="4"/>
  <c r="M42" i="4" s="1"/>
  <c r="M54" i="4" s="1"/>
  <c r="I9" i="4"/>
  <c r="M43" i="4" s="1"/>
  <c r="M55" i="4" s="1"/>
  <c r="I10" i="4"/>
  <c r="M44" i="4" s="1"/>
  <c r="M56" i="4" s="1"/>
  <c r="I11" i="4"/>
  <c r="M45" i="4" s="1"/>
  <c r="M57" i="4" s="1"/>
  <c r="I12" i="4"/>
  <c r="M39" i="4" s="1"/>
  <c r="M51" i="4" s="1"/>
  <c r="I13" i="4"/>
  <c r="M41" i="4" s="1"/>
  <c r="M53" i="4" s="1"/>
  <c r="L36" i="4"/>
  <c r="L48" i="4" s="1"/>
  <c r="L37" i="4"/>
  <c r="L49" i="4" s="1"/>
  <c r="L38" i="4"/>
  <c r="L50" i="4" s="1"/>
  <c r="L40" i="4"/>
  <c r="L52" i="4" s="1"/>
  <c r="L42" i="4"/>
  <c r="L54" i="4" s="1"/>
  <c r="L43" i="4"/>
  <c r="L55" i="4" s="1"/>
  <c r="L44" i="4"/>
  <c r="L56" i="4" s="1"/>
  <c r="L45" i="4"/>
  <c r="L57" i="4" s="1"/>
  <c r="L35" i="4"/>
  <c r="L47" i="4" s="1"/>
  <c r="I3" i="4"/>
  <c r="M35" i="4" s="1"/>
  <c r="M47" i="4" s="1"/>
  <c r="J2" i="4"/>
  <c r="N34" i="4" s="1"/>
  <c r="N46" i="4" s="1"/>
  <c r="K2" i="4"/>
  <c r="O34" i="4" s="1"/>
  <c r="O46" i="4" s="1"/>
  <c r="L2" i="4"/>
  <c r="P34" i="4" s="1"/>
  <c r="P46" i="4" s="1"/>
  <c r="M2" i="4"/>
  <c r="Q34" i="4" s="1"/>
  <c r="Q46" i="4" s="1"/>
  <c r="I2" i="4"/>
  <c r="M34" i="4" s="1"/>
  <c r="M46" i="4" s="1"/>
  <c r="J36" i="4"/>
  <c r="K33" i="4"/>
  <c r="S95" i="2"/>
  <c r="N31" i="3"/>
  <c r="M7" i="3"/>
  <c r="M3" i="3"/>
  <c r="L23" i="3"/>
  <c r="K26" i="3"/>
  <c r="L4" i="3"/>
  <c r="L5" i="3"/>
  <c r="L6" i="3"/>
  <c r="L7" i="3"/>
  <c r="L8" i="3"/>
  <c r="L9" i="3"/>
  <c r="L10" i="3"/>
  <c r="L11" i="3"/>
  <c r="L3" i="3"/>
  <c r="K4" i="3"/>
  <c r="K5" i="3"/>
  <c r="K6" i="3"/>
  <c r="K7" i="3"/>
  <c r="K8" i="3"/>
  <c r="K9" i="3"/>
  <c r="K10" i="3"/>
  <c r="K11" i="3"/>
  <c r="K3" i="3"/>
  <c r="J3" i="3"/>
  <c r="J4" i="3"/>
  <c r="J5" i="3"/>
  <c r="J6" i="3"/>
  <c r="J7" i="3"/>
  <c r="J8" i="3"/>
  <c r="J9" i="3"/>
  <c r="J10" i="3"/>
  <c r="J11" i="3"/>
  <c r="I4" i="3"/>
  <c r="M4" i="3" s="1"/>
  <c r="I5" i="3"/>
  <c r="M5" i="3" s="1"/>
  <c r="I6" i="3"/>
  <c r="M6" i="3" s="1"/>
  <c r="I7" i="3"/>
  <c r="N29" i="3" s="1"/>
  <c r="I8" i="3"/>
  <c r="M8" i="3" s="1"/>
  <c r="I9" i="3"/>
  <c r="M9" i="3" s="1"/>
  <c r="I10" i="3"/>
  <c r="N32" i="3" s="1"/>
  <c r="I11" i="3"/>
  <c r="N33" i="3" s="1"/>
  <c r="I3" i="3"/>
  <c r="N25" i="3" s="1"/>
  <c r="M11" i="3" l="1"/>
  <c r="N30" i="3"/>
  <c r="M10" i="3"/>
  <c r="N28" i="3"/>
  <c r="N27" i="3"/>
  <c r="N26" i="3"/>
  <c r="G1" i="2"/>
  <c r="F1" i="2"/>
  <c r="C104" i="2" l="1"/>
  <c r="C105" i="2"/>
  <c r="C106" i="2"/>
  <c r="C107" i="2"/>
  <c r="C108" i="2"/>
  <c r="C103" i="2"/>
  <c r="C110" i="2" s="1"/>
  <c r="C109" i="2" l="1"/>
  <c r="B57" i="2"/>
  <c r="B31" i="2"/>
  <c r="C31" i="2"/>
  <c r="D31" i="2"/>
  <c r="P31" i="2" s="1"/>
  <c r="E31" i="2"/>
  <c r="F31" i="2"/>
  <c r="G31" i="2"/>
  <c r="H31" i="2"/>
  <c r="I31" i="2"/>
  <c r="J31" i="2"/>
  <c r="K31" i="2"/>
  <c r="L31" i="2"/>
  <c r="M31" i="2"/>
  <c r="N31" i="2"/>
  <c r="O31" i="2"/>
  <c r="B15" i="2"/>
  <c r="C15" i="2"/>
  <c r="D15" i="2"/>
  <c r="P15" i="2" s="1"/>
  <c r="E15" i="2"/>
  <c r="F15" i="2"/>
  <c r="G15" i="2"/>
  <c r="H15" i="2"/>
  <c r="I15" i="2"/>
  <c r="J15" i="2"/>
  <c r="K15" i="2"/>
  <c r="L15" i="2"/>
  <c r="M15" i="2"/>
  <c r="N15" i="2"/>
  <c r="O15" i="2"/>
  <c r="U15" i="2" l="1"/>
  <c r="T31" i="2"/>
  <c r="T15" i="2"/>
  <c r="U31" i="2"/>
  <c r="C57" i="2" l="1"/>
  <c r="O57" i="2" l="1"/>
  <c r="N57" i="2"/>
  <c r="M57" i="2"/>
  <c r="L57" i="2"/>
  <c r="K57" i="2"/>
  <c r="J57" i="2"/>
  <c r="I57" i="2"/>
  <c r="H57" i="2"/>
  <c r="G57" i="2"/>
  <c r="F57" i="2"/>
  <c r="E57" i="2"/>
  <c r="D57" i="2"/>
  <c r="P57" i="2" s="1"/>
  <c r="U57" i="2" l="1"/>
  <c r="T57" i="2"/>
  <c r="O72" i="2" l="1"/>
  <c r="N72" i="2"/>
  <c r="M72" i="2"/>
  <c r="L72" i="2"/>
  <c r="K72" i="2"/>
  <c r="J72" i="2"/>
  <c r="I72" i="2"/>
  <c r="H72" i="2"/>
  <c r="G72" i="2"/>
  <c r="F72" i="2"/>
  <c r="E72" i="2"/>
  <c r="D72" i="2"/>
  <c r="P72" i="2" s="1"/>
  <c r="C72" i="2"/>
  <c r="B72" i="2"/>
  <c r="O70" i="2"/>
  <c r="N70" i="2"/>
  <c r="M70" i="2"/>
  <c r="L70" i="2"/>
  <c r="K70" i="2"/>
  <c r="J70" i="2"/>
  <c r="I70" i="2"/>
  <c r="H70" i="2"/>
  <c r="G70" i="2"/>
  <c r="F70" i="2"/>
  <c r="E70" i="2"/>
  <c r="D70" i="2"/>
  <c r="P70" i="2" s="1"/>
  <c r="C70" i="2"/>
  <c r="B70" i="2"/>
  <c r="O79" i="2"/>
  <c r="N79" i="2"/>
  <c r="M79" i="2"/>
  <c r="L79" i="2"/>
  <c r="K79" i="2"/>
  <c r="J79" i="2"/>
  <c r="I79" i="2"/>
  <c r="H79" i="2"/>
  <c r="G79" i="2"/>
  <c r="F79" i="2"/>
  <c r="E79" i="2"/>
  <c r="D79" i="2"/>
  <c r="P79" i="2" s="1"/>
  <c r="C79" i="2"/>
  <c r="C95" i="2" s="1"/>
  <c r="B79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O56" i="2"/>
  <c r="N56" i="2"/>
  <c r="M56" i="2"/>
  <c r="L56" i="2"/>
  <c r="K56" i="2"/>
  <c r="J56" i="2"/>
  <c r="I56" i="2"/>
  <c r="H56" i="2"/>
  <c r="G56" i="2"/>
  <c r="F56" i="2"/>
  <c r="E56" i="2"/>
  <c r="D56" i="2"/>
  <c r="P56" i="2" s="1"/>
  <c r="C56" i="2"/>
  <c r="B56" i="2"/>
  <c r="O54" i="2"/>
  <c r="N54" i="2"/>
  <c r="M54" i="2"/>
  <c r="L54" i="2"/>
  <c r="K54" i="2"/>
  <c r="J54" i="2"/>
  <c r="I54" i="2"/>
  <c r="H54" i="2"/>
  <c r="G54" i="2"/>
  <c r="F54" i="2"/>
  <c r="E54" i="2"/>
  <c r="D54" i="2"/>
  <c r="P54" i="2" s="1"/>
  <c r="C54" i="2"/>
  <c r="B5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O40" i="2"/>
  <c r="N40" i="2"/>
  <c r="M40" i="2"/>
  <c r="L40" i="2"/>
  <c r="K40" i="2"/>
  <c r="J40" i="2"/>
  <c r="I40" i="2"/>
  <c r="H40" i="2"/>
  <c r="G40" i="2"/>
  <c r="F40" i="2"/>
  <c r="E40" i="2"/>
  <c r="D40" i="2"/>
  <c r="P40" i="2" s="1"/>
  <c r="C40" i="2"/>
  <c r="B40" i="2"/>
  <c r="O38" i="2"/>
  <c r="N38" i="2"/>
  <c r="M38" i="2"/>
  <c r="L38" i="2"/>
  <c r="K38" i="2"/>
  <c r="J38" i="2"/>
  <c r="I38" i="2"/>
  <c r="H38" i="2"/>
  <c r="G38" i="2"/>
  <c r="F38" i="2"/>
  <c r="E38" i="2"/>
  <c r="D38" i="2"/>
  <c r="P38" i="2" s="1"/>
  <c r="C38" i="2"/>
  <c r="B38" i="2"/>
  <c r="O47" i="2"/>
  <c r="N47" i="2"/>
  <c r="M47" i="2"/>
  <c r="L47" i="2"/>
  <c r="K47" i="2"/>
  <c r="J47" i="2"/>
  <c r="I47" i="2"/>
  <c r="H47" i="2"/>
  <c r="G47" i="2"/>
  <c r="F47" i="2"/>
  <c r="E47" i="2"/>
  <c r="D47" i="2"/>
  <c r="P47" i="2" s="1"/>
  <c r="C47" i="2"/>
  <c r="B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8" i="2"/>
  <c r="N8" i="2"/>
  <c r="M8" i="2"/>
  <c r="L8" i="2"/>
  <c r="K8" i="2"/>
  <c r="J8" i="2"/>
  <c r="I8" i="2"/>
  <c r="H8" i="2"/>
  <c r="G8" i="2"/>
  <c r="F8" i="2"/>
  <c r="E8" i="2"/>
  <c r="D8" i="2"/>
  <c r="P8" i="2" s="1"/>
  <c r="C8" i="2"/>
  <c r="B8" i="2"/>
  <c r="O6" i="2"/>
  <c r="N6" i="2"/>
  <c r="M6" i="2"/>
  <c r="L6" i="2"/>
  <c r="K6" i="2"/>
  <c r="J6" i="2"/>
  <c r="I6" i="2"/>
  <c r="H6" i="2"/>
  <c r="G6" i="2"/>
  <c r="F6" i="2"/>
  <c r="E6" i="2"/>
  <c r="D6" i="2"/>
  <c r="P6" i="2" s="1"/>
  <c r="C6" i="2"/>
  <c r="B6" i="2"/>
  <c r="O95" i="2"/>
  <c r="D9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O1" i="2"/>
  <c r="N1" i="2"/>
  <c r="M1" i="2"/>
  <c r="L1" i="2"/>
  <c r="K1" i="2"/>
  <c r="J1" i="2"/>
  <c r="I1" i="2"/>
  <c r="H1" i="2"/>
  <c r="E1" i="2"/>
  <c r="D1" i="2"/>
  <c r="C1" i="2"/>
  <c r="B1" i="2"/>
  <c r="O24" i="2"/>
  <c r="O22" i="2"/>
  <c r="O30" i="2"/>
  <c r="O29" i="2"/>
  <c r="O28" i="2"/>
  <c r="O27" i="2"/>
  <c r="O26" i="2"/>
  <c r="O25" i="2"/>
  <c r="O23" i="2"/>
  <c r="O21" i="2"/>
  <c r="O20" i="2"/>
  <c r="O19" i="2"/>
  <c r="O18" i="2"/>
  <c r="O17" i="2"/>
  <c r="N24" i="2"/>
  <c r="N22" i="2"/>
  <c r="N30" i="2"/>
  <c r="N29" i="2"/>
  <c r="N28" i="2"/>
  <c r="N27" i="2"/>
  <c r="N26" i="2"/>
  <c r="N25" i="2"/>
  <c r="N23" i="2"/>
  <c r="N21" i="2"/>
  <c r="N20" i="2"/>
  <c r="N19" i="2"/>
  <c r="N18" i="2"/>
  <c r="N17" i="2"/>
  <c r="M24" i="2"/>
  <c r="M22" i="2"/>
  <c r="M30" i="2"/>
  <c r="M29" i="2"/>
  <c r="M28" i="2"/>
  <c r="M27" i="2"/>
  <c r="M26" i="2"/>
  <c r="M25" i="2"/>
  <c r="M23" i="2"/>
  <c r="M21" i="2"/>
  <c r="M20" i="2"/>
  <c r="M19" i="2"/>
  <c r="M18" i="2"/>
  <c r="M17" i="2"/>
  <c r="L24" i="2"/>
  <c r="L22" i="2"/>
  <c r="L30" i="2"/>
  <c r="L29" i="2"/>
  <c r="L28" i="2"/>
  <c r="L27" i="2"/>
  <c r="L26" i="2"/>
  <c r="L25" i="2"/>
  <c r="L23" i="2"/>
  <c r="L21" i="2"/>
  <c r="L20" i="2"/>
  <c r="L19" i="2"/>
  <c r="L18" i="2"/>
  <c r="L17" i="2"/>
  <c r="K24" i="2"/>
  <c r="K22" i="2"/>
  <c r="K30" i="2"/>
  <c r="K29" i="2"/>
  <c r="K28" i="2"/>
  <c r="K27" i="2"/>
  <c r="K26" i="2"/>
  <c r="K25" i="2"/>
  <c r="K23" i="2"/>
  <c r="K21" i="2"/>
  <c r="K20" i="2"/>
  <c r="K19" i="2"/>
  <c r="K18" i="2"/>
  <c r="K17" i="2"/>
  <c r="J24" i="2"/>
  <c r="J22" i="2"/>
  <c r="J30" i="2"/>
  <c r="J29" i="2"/>
  <c r="J28" i="2"/>
  <c r="J27" i="2"/>
  <c r="J26" i="2"/>
  <c r="J25" i="2"/>
  <c r="J23" i="2"/>
  <c r="J21" i="2"/>
  <c r="J20" i="2"/>
  <c r="J19" i="2"/>
  <c r="J18" i="2"/>
  <c r="J17" i="2"/>
  <c r="I24" i="2"/>
  <c r="I22" i="2"/>
  <c r="I30" i="2"/>
  <c r="I29" i="2"/>
  <c r="I28" i="2"/>
  <c r="I27" i="2"/>
  <c r="I26" i="2"/>
  <c r="I25" i="2"/>
  <c r="I23" i="2"/>
  <c r="I21" i="2"/>
  <c r="I20" i="2"/>
  <c r="I19" i="2"/>
  <c r="I18" i="2"/>
  <c r="I17" i="2"/>
  <c r="H24" i="2"/>
  <c r="H22" i="2"/>
  <c r="H30" i="2"/>
  <c r="H29" i="2"/>
  <c r="H28" i="2"/>
  <c r="H27" i="2"/>
  <c r="H26" i="2"/>
  <c r="H25" i="2"/>
  <c r="H23" i="2"/>
  <c r="H21" i="2"/>
  <c r="H20" i="2"/>
  <c r="H19" i="2"/>
  <c r="H18" i="2"/>
  <c r="H17" i="2"/>
  <c r="G24" i="2"/>
  <c r="G22" i="2"/>
  <c r="G30" i="2"/>
  <c r="G29" i="2"/>
  <c r="G28" i="2"/>
  <c r="G27" i="2"/>
  <c r="G26" i="2"/>
  <c r="G25" i="2"/>
  <c r="G23" i="2"/>
  <c r="G21" i="2"/>
  <c r="G20" i="2"/>
  <c r="G19" i="2"/>
  <c r="G18" i="2"/>
  <c r="F24" i="2"/>
  <c r="F22" i="2"/>
  <c r="F30" i="2"/>
  <c r="F29" i="2"/>
  <c r="F28" i="2"/>
  <c r="F27" i="2"/>
  <c r="F26" i="2"/>
  <c r="F25" i="2"/>
  <c r="F23" i="2"/>
  <c r="F21" i="2"/>
  <c r="F20" i="2"/>
  <c r="F19" i="2"/>
  <c r="F18" i="2"/>
  <c r="F17" i="2"/>
  <c r="E24" i="2"/>
  <c r="E22" i="2"/>
  <c r="E30" i="2"/>
  <c r="E29" i="2"/>
  <c r="E28" i="2"/>
  <c r="E27" i="2"/>
  <c r="E26" i="2"/>
  <c r="E25" i="2"/>
  <c r="E23" i="2"/>
  <c r="E21" i="2"/>
  <c r="E20" i="2"/>
  <c r="E19" i="2"/>
  <c r="E18" i="2"/>
  <c r="E17" i="2"/>
  <c r="D24" i="2"/>
  <c r="P24" i="2" s="1"/>
  <c r="D22" i="2"/>
  <c r="P22" i="2" s="1"/>
  <c r="D30" i="2"/>
  <c r="D29" i="2"/>
  <c r="D28" i="2"/>
  <c r="D27" i="2"/>
  <c r="D26" i="2"/>
  <c r="D25" i="2"/>
  <c r="D23" i="2"/>
  <c r="D21" i="2"/>
  <c r="D20" i="2"/>
  <c r="D19" i="2"/>
  <c r="D18" i="2"/>
  <c r="D17" i="2"/>
  <c r="C24" i="2"/>
  <c r="C22" i="2"/>
  <c r="C30" i="2"/>
  <c r="C29" i="2"/>
  <c r="C28" i="2"/>
  <c r="C27" i="2"/>
  <c r="C26" i="2"/>
  <c r="C25" i="2"/>
  <c r="C23" i="2"/>
  <c r="C21" i="2"/>
  <c r="C20" i="2"/>
  <c r="C19" i="2"/>
  <c r="C18" i="2"/>
  <c r="C17" i="2"/>
  <c r="B24" i="2"/>
  <c r="B22" i="2"/>
  <c r="B30" i="2"/>
  <c r="B29" i="2"/>
  <c r="B28" i="2"/>
  <c r="B27" i="2"/>
  <c r="B26" i="2"/>
  <c r="B25" i="2"/>
  <c r="B23" i="2"/>
  <c r="B21" i="2"/>
  <c r="B20" i="2"/>
  <c r="B19" i="2"/>
  <c r="B18" i="2"/>
  <c r="B17" i="2"/>
  <c r="G17" i="2"/>
  <c r="E86" i="2" l="1"/>
  <c r="Q86" i="2"/>
  <c r="Q87" i="2" s="1"/>
  <c r="P86" i="2"/>
  <c r="J98" i="2"/>
  <c r="J86" i="2"/>
  <c r="D87" i="2"/>
  <c r="T84" i="2"/>
  <c r="S84" i="2" s="1"/>
  <c r="T92" i="2"/>
  <c r="S92" i="2" s="1"/>
  <c r="T85" i="2"/>
  <c r="S85" i="2" s="1"/>
  <c r="T93" i="2"/>
  <c r="S93" i="2" s="1"/>
  <c r="T87" i="2"/>
  <c r="S87" i="2" s="1"/>
  <c r="T94" i="2"/>
  <c r="S94" i="2" s="1"/>
  <c r="T89" i="2"/>
  <c r="S89" i="2" s="1"/>
  <c r="T82" i="2"/>
  <c r="S82" i="2" s="1"/>
  <c r="T90" i="2"/>
  <c r="S90" i="2" s="1"/>
  <c r="T86" i="2"/>
  <c r="S86" i="2" s="1"/>
  <c r="T83" i="2"/>
  <c r="S83" i="2" s="1"/>
  <c r="T91" i="2"/>
  <c r="S91" i="2" s="1"/>
  <c r="T88" i="2"/>
  <c r="S88" i="2" s="1"/>
  <c r="P88" i="2"/>
  <c r="T38" i="2"/>
  <c r="U38" i="2"/>
  <c r="U70" i="2"/>
  <c r="T70" i="2"/>
  <c r="T40" i="2"/>
  <c r="U40" i="2"/>
  <c r="U72" i="2"/>
  <c r="T72" i="2"/>
  <c r="U63" i="2"/>
  <c r="T63" i="2"/>
  <c r="T22" i="2"/>
  <c r="U22" i="2"/>
  <c r="T24" i="2"/>
  <c r="U24" i="2"/>
  <c r="U6" i="2"/>
  <c r="T6" i="2"/>
  <c r="T54" i="2"/>
  <c r="U54" i="2"/>
  <c r="U8" i="2"/>
  <c r="T8" i="2"/>
  <c r="T56" i="2"/>
  <c r="U56" i="2"/>
  <c r="T47" i="2"/>
  <c r="U47" i="2"/>
  <c r="T79" i="2"/>
  <c r="U79" i="2"/>
  <c r="D86" i="2"/>
  <c r="D88" i="2"/>
  <c r="H95" i="2"/>
  <c r="I95" i="2"/>
  <c r="J95" i="2"/>
  <c r="E95" i="2"/>
  <c r="F95" i="2" s="1"/>
  <c r="M88" i="2"/>
  <c r="L88" i="2"/>
  <c r="K88" i="2"/>
  <c r="C86" i="2"/>
  <c r="O86" i="2"/>
  <c r="E88" i="2"/>
  <c r="L86" i="2"/>
  <c r="M86" i="2"/>
  <c r="K86" i="2"/>
  <c r="K95" i="2"/>
  <c r="L95" i="2"/>
  <c r="M95" i="2"/>
  <c r="C88" i="2"/>
  <c r="O88" i="2"/>
  <c r="H86" i="2"/>
  <c r="I86" i="2"/>
  <c r="H88" i="2"/>
  <c r="I88" i="2"/>
  <c r="J88" i="2"/>
  <c r="O94" i="2"/>
  <c r="C94" i="2"/>
  <c r="O93" i="2"/>
  <c r="C93" i="2"/>
  <c r="O92" i="2"/>
  <c r="C92" i="2"/>
  <c r="O91" i="2"/>
  <c r="C91" i="2"/>
  <c r="O90" i="2"/>
  <c r="C90" i="2"/>
  <c r="O89" i="2"/>
  <c r="C89" i="2"/>
  <c r="O87" i="2"/>
  <c r="C87" i="2"/>
  <c r="O85" i="2"/>
  <c r="C85" i="2"/>
  <c r="O84" i="2"/>
  <c r="C84" i="2"/>
  <c r="O83" i="2"/>
  <c r="C83" i="2"/>
  <c r="O82" i="2"/>
  <c r="C82" i="2"/>
  <c r="P95" i="2"/>
  <c r="U78" i="2"/>
  <c r="T78" i="2"/>
  <c r="P78" i="2"/>
  <c r="U77" i="2"/>
  <c r="T77" i="2"/>
  <c r="P77" i="2"/>
  <c r="U76" i="2"/>
  <c r="T76" i="2"/>
  <c r="P76" i="2"/>
  <c r="U75" i="2"/>
  <c r="T75" i="2"/>
  <c r="P75" i="2"/>
  <c r="U74" i="2"/>
  <c r="T74" i="2"/>
  <c r="P74" i="2"/>
  <c r="U73" i="2"/>
  <c r="T73" i="2"/>
  <c r="P73" i="2"/>
  <c r="U71" i="2"/>
  <c r="T71" i="2"/>
  <c r="P71" i="2"/>
  <c r="U69" i="2"/>
  <c r="T69" i="2"/>
  <c r="P69" i="2"/>
  <c r="U68" i="2"/>
  <c r="T68" i="2"/>
  <c r="P68" i="2"/>
  <c r="U67" i="2"/>
  <c r="T67" i="2"/>
  <c r="P67" i="2"/>
  <c r="U66" i="2"/>
  <c r="T66" i="2"/>
  <c r="P66" i="2"/>
  <c r="U62" i="2"/>
  <c r="T62" i="2"/>
  <c r="P62" i="2"/>
  <c r="U61" i="2"/>
  <c r="T61" i="2"/>
  <c r="P61" i="2"/>
  <c r="U60" i="2"/>
  <c r="T60" i="2"/>
  <c r="P60" i="2"/>
  <c r="U59" i="2"/>
  <c r="T59" i="2"/>
  <c r="P59" i="2"/>
  <c r="U58" i="2"/>
  <c r="T58" i="2"/>
  <c r="P58" i="2"/>
  <c r="U55" i="2"/>
  <c r="T55" i="2"/>
  <c r="P55" i="2"/>
  <c r="U53" i="2"/>
  <c r="T53" i="2"/>
  <c r="P53" i="2"/>
  <c r="U52" i="2"/>
  <c r="T52" i="2"/>
  <c r="P52" i="2"/>
  <c r="U51" i="2"/>
  <c r="T51" i="2"/>
  <c r="P51" i="2"/>
  <c r="U50" i="2"/>
  <c r="T50" i="2"/>
  <c r="P50" i="2"/>
  <c r="U46" i="2"/>
  <c r="T46" i="2"/>
  <c r="P46" i="2"/>
  <c r="U45" i="2"/>
  <c r="T45" i="2"/>
  <c r="P45" i="2"/>
  <c r="U44" i="2"/>
  <c r="T44" i="2"/>
  <c r="P44" i="2"/>
  <c r="U43" i="2"/>
  <c r="T43" i="2"/>
  <c r="P43" i="2"/>
  <c r="U42" i="2"/>
  <c r="T42" i="2"/>
  <c r="P42" i="2"/>
  <c r="U41" i="2"/>
  <c r="T41" i="2"/>
  <c r="P41" i="2"/>
  <c r="U39" i="2"/>
  <c r="T39" i="2"/>
  <c r="P39" i="2"/>
  <c r="U37" i="2"/>
  <c r="T37" i="2"/>
  <c r="P37" i="2"/>
  <c r="U36" i="2"/>
  <c r="T36" i="2"/>
  <c r="P36" i="2"/>
  <c r="U35" i="2"/>
  <c r="T35" i="2"/>
  <c r="P35" i="2"/>
  <c r="U34" i="2"/>
  <c r="T34" i="2"/>
  <c r="P34" i="2"/>
  <c r="E94" i="2"/>
  <c r="M94" i="2"/>
  <c r="J94" i="2"/>
  <c r="U30" i="2"/>
  <c r="P30" i="2"/>
  <c r="M93" i="2"/>
  <c r="J93" i="2"/>
  <c r="D93" i="2"/>
  <c r="P29" i="2"/>
  <c r="E92" i="2"/>
  <c r="M92" i="2"/>
  <c r="J92" i="2"/>
  <c r="D92" i="2"/>
  <c r="P28" i="2"/>
  <c r="E91" i="2"/>
  <c r="M91" i="2"/>
  <c r="J91" i="2"/>
  <c r="D91" i="2"/>
  <c r="P27" i="2"/>
  <c r="E90" i="2"/>
  <c r="M90" i="2"/>
  <c r="H90" i="2"/>
  <c r="D90" i="2"/>
  <c r="P26" i="2"/>
  <c r="E89" i="2"/>
  <c r="M89" i="2"/>
  <c r="H89" i="2"/>
  <c r="P25" i="2"/>
  <c r="U23" i="2"/>
  <c r="M87" i="2"/>
  <c r="I87" i="2"/>
  <c r="P23" i="2"/>
  <c r="U21" i="2"/>
  <c r="M85" i="2"/>
  <c r="J85" i="2"/>
  <c r="D85" i="2"/>
  <c r="P21" i="2"/>
  <c r="K84" i="2"/>
  <c r="J84" i="2"/>
  <c r="D84" i="2"/>
  <c r="P20" i="2"/>
  <c r="L83" i="2"/>
  <c r="J83" i="2"/>
  <c r="D83" i="2"/>
  <c r="P19" i="2"/>
  <c r="E82" i="2"/>
  <c r="M82" i="2"/>
  <c r="J82" i="2"/>
  <c r="D82" i="2"/>
  <c r="P18" i="2"/>
  <c r="U14" i="2"/>
  <c r="T14" i="2"/>
  <c r="P14" i="2"/>
  <c r="U13" i="2"/>
  <c r="T13" i="2"/>
  <c r="P13" i="2"/>
  <c r="U12" i="2"/>
  <c r="T12" i="2"/>
  <c r="P12" i="2"/>
  <c r="U11" i="2"/>
  <c r="T11" i="2"/>
  <c r="P11" i="2"/>
  <c r="U10" i="2"/>
  <c r="T10" i="2"/>
  <c r="P10" i="2"/>
  <c r="U9" i="2"/>
  <c r="T9" i="2"/>
  <c r="P9" i="2"/>
  <c r="U7" i="2"/>
  <c r="T7" i="2"/>
  <c r="P7" i="2"/>
  <c r="U5" i="2"/>
  <c r="T5" i="2"/>
  <c r="P5" i="2"/>
  <c r="U4" i="2"/>
  <c r="T4" i="2"/>
  <c r="P4" i="2"/>
  <c r="U3" i="2"/>
  <c r="T3" i="2"/>
  <c r="P3" i="2"/>
  <c r="U2" i="2"/>
  <c r="T2" i="2"/>
  <c r="P2" i="2"/>
  <c r="F86" i="2" l="1"/>
  <c r="F88" i="2"/>
  <c r="G95" i="2"/>
  <c r="G86" i="2"/>
  <c r="G88" i="2"/>
  <c r="P82" i="2"/>
  <c r="U20" i="2"/>
  <c r="P84" i="2"/>
  <c r="K90" i="2"/>
  <c r="L90" i="2"/>
  <c r="K87" i="2"/>
  <c r="U19" i="2"/>
  <c r="L87" i="2"/>
  <c r="U26" i="2"/>
  <c r="U25" i="2"/>
  <c r="U18" i="2"/>
  <c r="K89" i="2"/>
  <c r="K92" i="2"/>
  <c r="P83" i="2"/>
  <c r="L89" i="2"/>
  <c r="M84" i="2"/>
  <c r="E83" i="2"/>
  <c r="F83" i="2" s="1"/>
  <c r="H94" i="2"/>
  <c r="H92" i="2"/>
  <c r="P94" i="2"/>
  <c r="I92" i="2"/>
  <c r="T27" i="2"/>
  <c r="U27" i="2"/>
  <c r="H91" i="2"/>
  <c r="I91" i="2"/>
  <c r="T19" i="2"/>
  <c r="H93" i="2"/>
  <c r="P85" i="2"/>
  <c r="P87" i="2"/>
  <c r="L85" i="2"/>
  <c r="K91" i="2"/>
  <c r="I93" i="2"/>
  <c r="L91" i="2"/>
  <c r="I90" i="2"/>
  <c r="U29" i="2"/>
  <c r="P93" i="2"/>
  <c r="J90" i="2"/>
  <c r="F82" i="2"/>
  <c r="G82" i="2"/>
  <c r="G90" i="2"/>
  <c r="F90" i="2"/>
  <c r="P92" i="2"/>
  <c r="G92" i="2"/>
  <c r="F92" i="2"/>
  <c r="F91" i="2"/>
  <c r="G91" i="2"/>
  <c r="P91" i="2"/>
  <c r="P90" i="2"/>
  <c r="P89" i="2"/>
  <c r="T20" i="2"/>
  <c r="U28" i="2"/>
  <c r="T18" i="2"/>
  <c r="T26" i="2"/>
  <c r="M83" i="2"/>
  <c r="L84" i="2"/>
  <c r="K85" i="2"/>
  <c r="J87" i="2"/>
  <c r="I89" i="2"/>
  <c r="E93" i="2"/>
  <c r="F93" i="2" s="1"/>
  <c r="D94" i="2"/>
  <c r="J89" i="2"/>
  <c r="I94" i="2"/>
  <c r="T29" i="2"/>
  <c r="H82" i="2"/>
  <c r="E85" i="2"/>
  <c r="G85" i="2" s="1"/>
  <c r="L92" i="2"/>
  <c r="K93" i="2"/>
  <c r="I82" i="2"/>
  <c r="H83" i="2"/>
  <c r="E87" i="2"/>
  <c r="G87" i="2" s="1"/>
  <c r="D89" i="2"/>
  <c r="L93" i="2"/>
  <c r="K94" i="2"/>
  <c r="T28" i="2"/>
  <c r="E84" i="2"/>
  <c r="G84" i="2" s="1"/>
  <c r="T21" i="2"/>
  <c r="T23" i="2"/>
  <c r="T30" i="2"/>
  <c r="I83" i="2"/>
  <c r="H84" i="2"/>
  <c r="L94" i="2"/>
  <c r="K82" i="2"/>
  <c r="I84" i="2"/>
  <c r="H85" i="2"/>
  <c r="T25" i="2"/>
  <c r="L82" i="2"/>
  <c r="K83" i="2"/>
  <c r="I85" i="2"/>
  <c r="H87" i="2"/>
  <c r="P73" i="1"/>
  <c r="P74" i="1"/>
  <c r="P75" i="1"/>
  <c r="P76" i="1"/>
  <c r="P77" i="1"/>
  <c r="P78" i="1"/>
  <c r="P79" i="1"/>
  <c r="P80" i="1"/>
  <c r="P81" i="1"/>
  <c r="P82" i="1"/>
  <c r="P83" i="1"/>
  <c r="P72" i="1"/>
  <c r="L83" i="1"/>
  <c r="M83" i="1"/>
  <c r="N83" i="1"/>
  <c r="E83" i="1"/>
  <c r="K83" i="1"/>
  <c r="I83" i="1"/>
  <c r="J83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2" i="1"/>
  <c r="I2" i="1"/>
  <c r="H13" i="1"/>
  <c r="C73" i="1"/>
  <c r="C74" i="1"/>
  <c r="C75" i="1"/>
  <c r="C76" i="1"/>
  <c r="C77" i="1"/>
  <c r="C78" i="1"/>
  <c r="C79" i="1"/>
  <c r="C80" i="1"/>
  <c r="C81" i="1"/>
  <c r="C82" i="1"/>
  <c r="C83" i="1"/>
  <c r="C72" i="1"/>
  <c r="Q27" i="1"/>
  <c r="F83" i="1" s="1"/>
  <c r="P27" i="1"/>
  <c r="O27" i="1"/>
  <c r="N27" i="1"/>
  <c r="M27" i="1"/>
  <c r="L27" i="1"/>
  <c r="K27" i="1"/>
  <c r="J27" i="1"/>
  <c r="G27" i="1"/>
  <c r="F27" i="1"/>
  <c r="E27" i="1"/>
  <c r="D27" i="1" s="1"/>
  <c r="Q26" i="1"/>
  <c r="F82" i="1" s="1"/>
  <c r="P26" i="1"/>
  <c r="L82" i="1" s="1"/>
  <c r="O26" i="1"/>
  <c r="N26" i="1"/>
  <c r="M26" i="1"/>
  <c r="L26" i="1"/>
  <c r="K26" i="1"/>
  <c r="I82" i="1" s="1"/>
  <c r="J26" i="1"/>
  <c r="E82" i="1" s="1"/>
  <c r="G26" i="1"/>
  <c r="F26" i="1"/>
  <c r="E26" i="1"/>
  <c r="D26" i="1" s="1"/>
  <c r="Q25" i="1"/>
  <c r="F81" i="1" s="1"/>
  <c r="P25" i="1"/>
  <c r="M81" i="1" s="1"/>
  <c r="O25" i="1"/>
  <c r="N25" i="1"/>
  <c r="M25" i="1"/>
  <c r="L25" i="1"/>
  <c r="K25" i="1"/>
  <c r="I81" i="1" s="1"/>
  <c r="J25" i="1"/>
  <c r="E81" i="1" s="1"/>
  <c r="G25" i="1"/>
  <c r="F25" i="1"/>
  <c r="E25" i="1"/>
  <c r="D25" i="1" s="1"/>
  <c r="Q24" i="1"/>
  <c r="F80" i="1" s="1"/>
  <c r="P24" i="1"/>
  <c r="L80" i="1" s="1"/>
  <c r="O24" i="1"/>
  <c r="N24" i="1"/>
  <c r="M24" i="1"/>
  <c r="L24" i="1"/>
  <c r="K24" i="1"/>
  <c r="I80" i="1" s="1"/>
  <c r="J24" i="1"/>
  <c r="G24" i="1"/>
  <c r="F24" i="1"/>
  <c r="E24" i="1"/>
  <c r="D24" i="1" s="1"/>
  <c r="Q23" i="1"/>
  <c r="F79" i="1" s="1"/>
  <c r="P23" i="1"/>
  <c r="M79" i="1" s="1"/>
  <c r="O23" i="1"/>
  <c r="N23" i="1"/>
  <c r="M23" i="1"/>
  <c r="L23" i="1"/>
  <c r="K23" i="1"/>
  <c r="I79" i="1" s="1"/>
  <c r="J23" i="1"/>
  <c r="G23" i="1"/>
  <c r="F23" i="1"/>
  <c r="E23" i="1"/>
  <c r="D23" i="1" s="1"/>
  <c r="Q22" i="1"/>
  <c r="F78" i="1" s="1"/>
  <c r="P22" i="1"/>
  <c r="M78" i="1" s="1"/>
  <c r="O22" i="1"/>
  <c r="N22" i="1"/>
  <c r="M22" i="1"/>
  <c r="L22" i="1"/>
  <c r="K22" i="1"/>
  <c r="I78" i="1" s="1"/>
  <c r="J22" i="1"/>
  <c r="E78" i="1" s="1"/>
  <c r="G22" i="1"/>
  <c r="F22" i="1"/>
  <c r="E22" i="1"/>
  <c r="D22" i="1" s="1"/>
  <c r="Q21" i="1"/>
  <c r="F77" i="1" s="1"/>
  <c r="P21" i="1"/>
  <c r="M77" i="1" s="1"/>
  <c r="O21" i="1"/>
  <c r="N21" i="1"/>
  <c r="M21" i="1"/>
  <c r="L21" i="1"/>
  <c r="K21" i="1"/>
  <c r="J77" i="1" s="1"/>
  <c r="J21" i="1"/>
  <c r="G21" i="1"/>
  <c r="F21" i="1"/>
  <c r="E21" i="1"/>
  <c r="D21" i="1" s="1"/>
  <c r="Q20" i="1"/>
  <c r="P20" i="1"/>
  <c r="M76" i="1" s="1"/>
  <c r="O20" i="1"/>
  <c r="N20" i="1"/>
  <c r="M20" i="1"/>
  <c r="L20" i="1"/>
  <c r="K20" i="1"/>
  <c r="J76" i="1" s="1"/>
  <c r="J20" i="1"/>
  <c r="E76" i="1" s="1"/>
  <c r="G20" i="1"/>
  <c r="F20" i="1"/>
  <c r="E20" i="1"/>
  <c r="D20" i="1" s="1"/>
  <c r="Q19" i="1"/>
  <c r="F75" i="1" s="1"/>
  <c r="P19" i="1"/>
  <c r="M75" i="1" s="1"/>
  <c r="O19" i="1"/>
  <c r="N19" i="1"/>
  <c r="M19" i="1"/>
  <c r="L19" i="1"/>
  <c r="K19" i="1"/>
  <c r="J75" i="1" s="1"/>
  <c r="J19" i="1"/>
  <c r="G19" i="1"/>
  <c r="F19" i="1"/>
  <c r="E19" i="1"/>
  <c r="D19" i="1" s="1"/>
  <c r="Q18" i="1"/>
  <c r="F74" i="1" s="1"/>
  <c r="P18" i="1"/>
  <c r="M74" i="1" s="1"/>
  <c r="O18" i="1"/>
  <c r="N18" i="1"/>
  <c r="M18" i="1"/>
  <c r="L18" i="1"/>
  <c r="K18" i="1"/>
  <c r="K74" i="1" s="1"/>
  <c r="J18" i="1"/>
  <c r="H18" i="1" s="1"/>
  <c r="G18" i="1"/>
  <c r="F18" i="1"/>
  <c r="E18" i="1"/>
  <c r="D18" i="1" s="1"/>
  <c r="Q17" i="1"/>
  <c r="F73" i="1" s="1"/>
  <c r="P17" i="1"/>
  <c r="M73" i="1" s="1"/>
  <c r="O17" i="1"/>
  <c r="N17" i="1"/>
  <c r="M17" i="1"/>
  <c r="L17" i="1"/>
  <c r="K17" i="1"/>
  <c r="K73" i="1" s="1"/>
  <c r="J17" i="1"/>
  <c r="G17" i="1"/>
  <c r="F17" i="1"/>
  <c r="E17" i="1"/>
  <c r="D17" i="1" s="1"/>
  <c r="Q16" i="1"/>
  <c r="F72" i="1" s="1"/>
  <c r="P16" i="1"/>
  <c r="L72" i="1" s="1"/>
  <c r="O16" i="1"/>
  <c r="N16" i="1"/>
  <c r="M16" i="1"/>
  <c r="L16" i="1"/>
  <c r="K16" i="1"/>
  <c r="I72" i="1" s="1"/>
  <c r="J16" i="1"/>
  <c r="E72" i="1" s="1"/>
  <c r="G16" i="1"/>
  <c r="F16" i="1"/>
  <c r="E16" i="1"/>
  <c r="D16" i="1" s="1"/>
  <c r="D69" i="1"/>
  <c r="D83" i="1" s="1"/>
  <c r="D68" i="1"/>
  <c r="D67" i="1"/>
  <c r="D66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1" i="1"/>
  <c r="D40" i="1"/>
  <c r="D39" i="1"/>
  <c r="D38" i="1"/>
  <c r="D37" i="1"/>
  <c r="D36" i="1"/>
  <c r="D35" i="1"/>
  <c r="D34" i="1"/>
  <c r="D33" i="1"/>
  <c r="D32" i="1"/>
  <c r="D31" i="1"/>
  <c r="D30" i="1"/>
  <c r="D3" i="1"/>
  <c r="D4" i="1"/>
  <c r="D5" i="1"/>
  <c r="D6" i="1"/>
  <c r="D7" i="1"/>
  <c r="D8" i="1"/>
  <c r="D9" i="1"/>
  <c r="D10" i="1"/>
  <c r="D11" i="1"/>
  <c r="D12" i="1"/>
  <c r="D13" i="1"/>
  <c r="D2" i="1"/>
  <c r="J82" i="1" l="1"/>
  <c r="J81" i="1"/>
  <c r="J80" i="1"/>
  <c r="H19" i="1"/>
  <c r="G83" i="2"/>
  <c r="N72" i="1"/>
  <c r="J79" i="1"/>
  <c r="H17" i="1"/>
  <c r="H72" i="1"/>
  <c r="J78" i="1"/>
  <c r="M80" i="1"/>
  <c r="M72" i="1"/>
  <c r="L78" i="1"/>
  <c r="G83" i="1"/>
  <c r="N81" i="1"/>
  <c r="N80" i="1"/>
  <c r="L81" i="1"/>
  <c r="N79" i="1"/>
  <c r="N78" i="1"/>
  <c r="I77" i="1"/>
  <c r="N82" i="1"/>
  <c r="E75" i="1"/>
  <c r="G75" i="1" s="1"/>
  <c r="L79" i="1"/>
  <c r="N77" i="1"/>
  <c r="I76" i="1"/>
  <c r="M82" i="1"/>
  <c r="E74" i="1"/>
  <c r="G74" i="1" s="1"/>
  <c r="N76" i="1"/>
  <c r="I75" i="1"/>
  <c r="H20" i="1"/>
  <c r="G81" i="1"/>
  <c r="L77" i="1"/>
  <c r="N75" i="1"/>
  <c r="I74" i="1"/>
  <c r="H24" i="1"/>
  <c r="L76" i="1"/>
  <c r="N74" i="1"/>
  <c r="J74" i="1"/>
  <c r="I73" i="1"/>
  <c r="H23" i="1"/>
  <c r="L75" i="1"/>
  <c r="N73" i="1"/>
  <c r="J73" i="1"/>
  <c r="L74" i="1"/>
  <c r="J72" i="1"/>
  <c r="K82" i="1"/>
  <c r="H21" i="1"/>
  <c r="L73" i="1"/>
  <c r="G93" i="2"/>
  <c r="F85" i="2"/>
  <c r="F84" i="2"/>
  <c r="F87" i="2"/>
  <c r="G94" i="2"/>
  <c r="F94" i="2"/>
  <c r="G89" i="2"/>
  <c r="F89" i="2"/>
  <c r="H83" i="1"/>
  <c r="G82" i="1"/>
  <c r="H82" i="1"/>
  <c r="G78" i="1"/>
  <c r="E80" i="1"/>
  <c r="G80" i="1" s="1"/>
  <c r="I22" i="1"/>
  <c r="E79" i="1"/>
  <c r="G79" i="1" s="1"/>
  <c r="H22" i="1"/>
  <c r="H16" i="1"/>
  <c r="I21" i="1"/>
  <c r="K72" i="1"/>
  <c r="E77" i="1"/>
  <c r="G77" i="1" s="1"/>
  <c r="I16" i="1"/>
  <c r="K81" i="1"/>
  <c r="I26" i="1"/>
  <c r="I20" i="1"/>
  <c r="K80" i="1"/>
  <c r="F76" i="1"/>
  <c r="G76" i="1" s="1"/>
  <c r="H26" i="1"/>
  <c r="K79" i="1"/>
  <c r="I25" i="1"/>
  <c r="I19" i="1"/>
  <c r="K78" i="1"/>
  <c r="E73" i="1"/>
  <c r="G73" i="1" s="1"/>
  <c r="H25" i="1"/>
  <c r="K77" i="1"/>
  <c r="I24" i="1"/>
  <c r="I18" i="1"/>
  <c r="K76" i="1"/>
  <c r="K75" i="1"/>
  <c r="I23" i="1"/>
  <c r="I17" i="1"/>
  <c r="H81" i="1"/>
  <c r="H78" i="1"/>
  <c r="G72" i="1"/>
  <c r="D82" i="1"/>
  <c r="D81" i="1"/>
  <c r="D80" i="1"/>
  <c r="D79" i="1"/>
  <c r="D78" i="1"/>
  <c r="D77" i="1"/>
  <c r="D76" i="1"/>
  <c r="D75" i="1"/>
  <c r="D73" i="1"/>
  <c r="D74" i="1"/>
  <c r="D72" i="1"/>
  <c r="H76" i="1" l="1"/>
  <c r="H80" i="1"/>
  <c r="H74" i="1"/>
  <c r="H75" i="1"/>
  <c r="H73" i="1"/>
  <c r="H77" i="1"/>
  <c r="H79" i="1"/>
</calcChain>
</file>

<file path=xl/sharedStrings.xml><?xml version="1.0" encoding="utf-8"?>
<sst xmlns="http://schemas.openxmlformats.org/spreadsheetml/2006/main" count="324" uniqueCount="109">
  <si>
    <t>1 Target</t>
  </si>
  <si>
    <t>ContribDistance</t>
  </si>
  <si>
    <t>Average Success</t>
  </si>
  <si>
    <t>Average Distance Success</t>
  </si>
  <si>
    <t>Max Distance Success</t>
  </si>
  <si>
    <t>Min Distance Success</t>
  </si>
  <si>
    <t>Std Distance Success</t>
  </si>
  <si>
    <t>Time Known Success</t>
  </si>
  <si>
    <t>Average Distance Failure</t>
  </si>
  <si>
    <t>Max Distance Failure</t>
  </si>
  <si>
    <t>Min Distance Failure</t>
  </si>
  <si>
    <t>Std Distance Failure</t>
  </si>
  <si>
    <t>Time Known Failure</t>
  </si>
  <si>
    <t>Total Targets</t>
  </si>
  <si>
    <t>%Weight1</t>
  </si>
  <si>
    <t>2 Targets</t>
  </si>
  <si>
    <t>3 Targets</t>
  </si>
  <si>
    <t>4 Targets</t>
  </si>
  <si>
    <t>5 Targets</t>
  </si>
  <si>
    <t>Summary</t>
  </si>
  <si>
    <t>95%Confidence Interval -</t>
  </si>
  <si>
    <t>95%Confidence Interval +</t>
  </si>
  <si>
    <t>Distance Average</t>
  </si>
  <si>
    <t>Std Average</t>
  </si>
  <si>
    <t>Count</t>
  </si>
  <si>
    <t>95% Confidence Interval -</t>
  </si>
  <si>
    <t>95% Confidence Interval +</t>
  </si>
  <si>
    <t>Average Intention Time Known (Success)</t>
  </si>
  <si>
    <t>Average Intention Time Known (Failure)</t>
  </si>
  <si>
    <t>Min Intention Known</t>
  </si>
  <si>
    <t>Min Intention Time Known (Failure)</t>
  </si>
  <si>
    <t>Max Intention Time Known (Failure)</t>
  </si>
  <si>
    <t>Average Success for Weight = 1</t>
  </si>
  <si>
    <t>Time</t>
  </si>
  <si>
    <t>95%ConfidenceIntervalSuccessRate</t>
  </si>
  <si>
    <t>StdSuccessRate</t>
  </si>
  <si>
    <t>User1</t>
  </si>
  <si>
    <t>SuccessRate</t>
  </si>
  <si>
    <t>MeanDistanceTarget</t>
  </si>
  <si>
    <t>StdDistanceTarget</t>
  </si>
  <si>
    <t>TimeIntentionKnown</t>
  </si>
  <si>
    <t>User2</t>
  </si>
  <si>
    <t>User3</t>
  </si>
  <si>
    <t>User4</t>
  </si>
  <si>
    <t>User5</t>
  </si>
  <si>
    <t>User6</t>
  </si>
  <si>
    <t>Ecartypes</t>
  </si>
  <si>
    <t>Moyenne</t>
  </si>
  <si>
    <t>Min</t>
  </si>
  <si>
    <t>Max</t>
  </si>
  <si>
    <t>ConfidenceInterval</t>
  </si>
  <si>
    <t>CONFIDENCE TRUC</t>
  </si>
  <si>
    <t>Confidence level</t>
  </si>
  <si>
    <t>Nb Data</t>
  </si>
  <si>
    <t>Alpha</t>
  </si>
  <si>
    <t>DoF</t>
  </si>
  <si>
    <t>t-distribution</t>
  </si>
  <si>
    <t>CI 95% T-DISTRIBUTION</t>
  </si>
  <si>
    <t>ConfidenceIntervalSuccess</t>
  </si>
  <si>
    <t>Average</t>
  </si>
  <si>
    <t>OneTarget</t>
  </si>
  <si>
    <t>TwoTargets</t>
  </si>
  <si>
    <t>ThreeTargets</t>
  </si>
  <si>
    <t>FourTargets</t>
  </si>
  <si>
    <t>FiveTargets</t>
  </si>
  <si>
    <t>95 % CI (T-Distribution)</t>
  </si>
  <si>
    <t>Average (%)</t>
  </si>
  <si>
    <t>Distance Proxy CoVR</t>
  </si>
  <si>
    <t>1Target</t>
  </si>
  <si>
    <t>3targets</t>
  </si>
  <si>
    <t>4targets</t>
  </si>
  <si>
    <t>5targets</t>
  </si>
  <si>
    <t>STD</t>
  </si>
  <si>
    <t>Average (cm)</t>
  </si>
  <si>
    <t>STD (cm)</t>
  </si>
  <si>
    <t>0 Distractor</t>
  </si>
  <si>
    <t>1 Distractor</t>
  </si>
  <si>
    <t>2 Distractors</t>
  </si>
  <si>
    <t>3 Distractors</t>
  </si>
  <si>
    <t>4 Distractors</t>
  </si>
  <si>
    <t>Average Distance to Target (cm)</t>
  </si>
  <si>
    <t>STD Distance (cm)</t>
  </si>
  <si>
    <t>95 % CI (T-Distribution) (%)</t>
  </si>
  <si>
    <t>Average % (95 % CI T-Distribution)</t>
  </si>
  <si>
    <t>Average Distance to Target (STD Distance, in cm)</t>
  </si>
  <si>
    <t>98.3 (1.8)</t>
  </si>
  <si>
    <t>95.0 (2.4)</t>
  </si>
  <si>
    <t>93.3 (4.4)</t>
  </si>
  <si>
    <t>96.7 (3.5)</t>
  </si>
  <si>
    <t>93.3 (3.5)</t>
  </si>
  <si>
    <t>0.4 (1.4)</t>
  </si>
  <si>
    <t>0.7 (1.7)</t>
  </si>
  <si>
    <t>0.6 (1.6)</t>
  </si>
  <si>
    <t>1.0 (1.8)</t>
  </si>
  <si>
    <t>1.2 (2.2)</t>
  </si>
  <si>
    <t>0.6</t>
  </si>
  <si>
    <t>0.9</t>
  </si>
  <si>
    <t>1.0</t>
  </si>
  <si>
    <t>1.2</t>
  </si>
  <si>
    <t>0.4</t>
  </si>
  <si>
    <t>0.7</t>
  </si>
  <si>
    <t>0.8</t>
  </si>
  <si>
    <t>98.3</t>
  </si>
  <si>
    <t>88.3</t>
  </si>
  <si>
    <t>81.7</t>
  </si>
  <si>
    <t>68.3</t>
  </si>
  <si>
    <t>0.0</t>
  </si>
  <si>
    <t>0.1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</si>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</sst>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12"/>
      <color rgb="FF000000"/>
      <name val="Helvetica"/>
      <family val="2"/>
    </font>
    <font>
      <sz val="12"/>
      <color theme="1"/>
      <name val="Helvetica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9" fontId="5" fillId="0" borderId="0" xfId="0" applyNumberFormat="1" applyFont="1"/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9" fontId="0" fillId="0" borderId="0" xfId="0" applyNumberFormat="1"/>
    <xf numFmtId="164" fontId="0" fillId="0" borderId="0" xfId="0" applyNumberFormat="1"/>
    <xf numFmtId="164" fontId="5" fillId="0" borderId="0" xfId="0" applyNumberFormat="1" applyFont="1"/>
    <xf numFmtId="0" fontId="0" fillId="0" borderId="0" xfId="0" applyNumberFormat="1"/>
    <xf numFmtId="0" fontId="5" fillId="0" borderId="0" xfId="0" applyNumberFormat="1" applyFont="1"/>
    <xf numFmtId="0" fontId="2" fillId="0" borderId="0" xfId="0" applyFont="1"/>
    <xf numFmtId="0" fontId="7" fillId="0" borderId="0" xfId="0" applyFont="1"/>
    <xf numFmtId="164" fontId="7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7" fillId="0" borderId="0" xfId="0" applyNumberFormat="1" applyFont="1"/>
    <xf numFmtId="0" fontId="2" fillId="0" borderId="2" xfId="0" applyFont="1" applyBorder="1"/>
    <xf numFmtId="0" fontId="2" fillId="0" borderId="1" xfId="0" applyFont="1" applyBorder="1"/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2" fontId="8" fillId="0" borderId="3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Average Distance to Target at Collision (in</a:t>
            </a:r>
            <a:r>
              <a:rPr lang="fr-FR" baseline="0"/>
              <a:t> cm)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1Target</c:v>
          </c:tx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Summary!$P$2:$P$14</c:f>
              <c:numCache>
                <c:formatCode>General</c:formatCode>
                <c:ptCount val="13"/>
                <c:pt idx="0">
                  <c:v>0.92731198305084661</c:v>
                </c:pt>
                <c:pt idx="1">
                  <c:v>0.92164405084745582</c:v>
                </c:pt>
                <c:pt idx="2">
                  <c:v>0.94753425423728632</c:v>
                </c:pt>
                <c:pt idx="3">
                  <c:v>0.90027989830508104</c:v>
                </c:pt>
                <c:pt idx="4">
                  <c:v>0.89709177966101739</c:v>
                </c:pt>
                <c:pt idx="5">
                  <c:v>0.89885459322033867</c:v>
                </c:pt>
                <c:pt idx="6">
                  <c:v>0.91639262711864489</c:v>
                </c:pt>
                <c:pt idx="7">
                  <c:v>0.86124976271186193</c:v>
                </c:pt>
                <c:pt idx="8">
                  <c:v>0.86324532203389748</c:v>
                </c:pt>
                <c:pt idx="9">
                  <c:v>0.85657545762711818</c:v>
                </c:pt>
                <c:pt idx="10">
                  <c:v>0.86585577966101623</c:v>
                </c:pt>
                <c:pt idx="11">
                  <c:v>0.4030932881355932</c:v>
                </c:pt>
                <c:pt idx="12">
                  <c:v>0.42443653333333459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8-4A45-8B00-6E751AACF56D}"/>
            </c:ext>
          </c:extLst>
        </c:ser>
        <c:ser>
          <c:idx val="6"/>
          <c:order val="1"/>
          <c:tx>
            <c:v>2Targets</c:v>
          </c:tx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Summary!$P$18:$P$30</c:f>
              <c:numCache>
                <c:formatCode>General</c:formatCode>
                <c:ptCount val="13"/>
                <c:pt idx="0">
                  <c:v>1.6229844423076905</c:v>
                </c:pt>
                <c:pt idx="1">
                  <c:v>1.3964737307692316</c:v>
                </c:pt>
                <c:pt idx="2">
                  <c:v>1.4426264528301858</c:v>
                </c:pt>
                <c:pt idx="3">
                  <c:v>1.4657094615384629</c:v>
                </c:pt>
                <c:pt idx="4">
                  <c:v>1.444275792452828</c:v>
                </c:pt>
                <c:pt idx="5">
                  <c:v>1.3558929600000023</c:v>
                </c:pt>
                <c:pt idx="6">
                  <c:v>1.3859047924528287</c:v>
                </c:pt>
                <c:pt idx="7">
                  <c:v>1.468383269230767</c:v>
                </c:pt>
                <c:pt idx="8">
                  <c:v>1.439551469387754</c:v>
                </c:pt>
                <c:pt idx="9">
                  <c:v>1.9843652916666665</c:v>
                </c:pt>
                <c:pt idx="10">
                  <c:v>2.1775529782608696</c:v>
                </c:pt>
                <c:pt idx="11">
                  <c:v>2.7828173823529379</c:v>
                </c:pt>
                <c:pt idx="12">
                  <c:v>4.0933915294117611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F8-4A45-8B00-6E751AACF56D}"/>
            </c:ext>
          </c:extLst>
        </c:ser>
        <c:ser>
          <c:idx val="7"/>
          <c:order val="2"/>
          <c:tx>
            <c:v>3Targets</c:v>
          </c:tx>
          <c:xVal>
            <c:numRef>
              <c:f>Summary!$B$2:$B$15</c:f>
              <c:numCache>
                <c:formatCode>General</c:formatCode>
                <c:ptCount val="1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</c:numCache>
            </c:numRef>
          </c:xVal>
          <c:yVal>
            <c:numRef>
              <c:f>Summary!$P$34:$P$46</c:f>
              <c:numCache>
                <c:formatCode>General</c:formatCode>
                <c:ptCount val="13"/>
                <c:pt idx="0">
                  <c:v>2.1604057209302328</c:v>
                </c:pt>
                <c:pt idx="1">
                  <c:v>2.275114391304347</c:v>
                </c:pt>
                <c:pt idx="2">
                  <c:v>2.3755551458333333</c:v>
                </c:pt>
                <c:pt idx="3">
                  <c:v>2.4145322399999967</c:v>
                </c:pt>
                <c:pt idx="4">
                  <c:v>2.345479836734691</c:v>
                </c:pt>
                <c:pt idx="5">
                  <c:v>2.372923693877548</c:v>
                </c:pt>
                <c:pt idx="6">
                  <c:v>2.5025541799999975</c:v>
                </c:pt>
                <c:pt idx="7">
                  <c:v>2.1229984081632622</c:v>
                </c:pt>
                <c:pt idx="8">
                  <c:v>2.5245185918367326</c:v>
                </c:pt>
                <c:pt idx="9">
                  <c:v>2.4338689069767443</c:v>
                </c:pt>
                <c:pt idx="10">
                  <c:v>2.0844605405405412</c:v>
                </c:pt>
                <c:pt idx="11">
                  <c:v>3.1293230714285705</c:v>
                </c:pt>
                <c:pt idx="12">
                  <c:v>4.49688911111111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F8-4A45-8B00-6E751AACF56D}"/>
            </c:ext>
          </c:extLst>
        </c:ser>
        <c:ser>
          <c:idx val="8"/>
          <c:order val="3"/>
          <c:tx>
            <c:v>4Targets</c:v>
          </c:tx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Summary!$P$50:$P$62</c:f>
              <c:numCache>
                <c:formatCode>General</c:formatCode>
                <c:ptCount val="13"/>
                <c:pt idx="0">
                  <c:v>1.2897391785714318</c:v>
                </c:pt>
                <c:pt idx="1">
                  <c:v>1.3777177567567549</c:v>
                </c:pt>
                <c:pt idx="2">
                  <c:v>1.8564877499999972</c:v>
                </c:pt>
                <c:pt idx="3">
                  <c:v>2.0910953947368438</c:v>
                </c:pt>
                <c:pt idx="4">
                  <c:v>2.4403084878048737</c:v>
                </c:pt>
                <c:pt idx="5">
                  <c:v>2.5655298536585329</c:v>
                </c:pt>
                <c:pt idx="6">
                  <c:v>2.163882999999998</c:v>
                </c:pt>
                <c:pt idx="7">
                  <c:v>2.0801031794871747</c:v>
                </c:pt>
                <c:pt idx="8">
                  <c:v>1.848541945945948</c:v>
                </c:pt>
                <c:pt idx="9">
                  <c:v>2.3451587777777743</c:v>
                </c:pt>
                <c:pt idx="10">
                  <c:v>3.1685302058823508</c:v>
                </c:pt>
                <c:pt idx="11">
                  <c:v>2.5169706363636317</c:v>
                </c:pt>
                <c:pt idx="12">
                  <c:v>5.3906760999999959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F8-4A45-8B00-6E751AACF56D}"/>
            </c:ext>
          </c:extLst>
        </c:ser>
        <c:ser>
          <c:idx val="9"/>
          <c:order val="4"/>
          <c:tx>
            <c:v>5Targets</c:v>
          </c:tx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Summary!$P$66:$P$78</c:f>
              <c:numCache>
                <c:formatCode>General</c:formatCode>
                <c:ptCount val="13"/>
                <c:pt idx="0">
                  <c:v>1.5812637894736803</c:v>
                </c:pt>
                <c:pt idx="1">
                  <c:v>1.4069203846153808</c:v>
                </c:pt>
                <c:pt idx="2">
                  <c:v>1.4069203846153808</c:v>
                </c:pt>
                <c:pt idx="3">
                  <c:v>2.0351788749999979</c:v>
                </c:pt>
                <c:pt idx="4">
                  <c:v>1.9957306585365826</c:v>
                </c:pt>
                <c:pt idx="5">
                  <c:v>1.7503555499999961</c:v>
                </c:pt>
                <c:pt idx="6">
                  <c:v>1.7772854390243891</c:v>
                </c:pt>
                <c:pt idx="7">
                  <c:v>1.6443721499999959</c:v>
                </c:pt>
                <c:pt idx="8">
                  <c:v>1.8468815384615374</c:v>
                </c:pt>
                <c:pt idx="9">
                  <c:v>2.3875682777777762</c:v>
                </c:pt>
                <c:pt idx="10">
                  <c:v>1.9059674193548382</c:v>
                </c:pt>
                <c:pt idx="11">
                  <c:v>2.0979206923076905</c:v>
                </c:pt>
                <c:pt idx="12">
                  <c:v>4.0705816999999955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F8-4A45-8B00-6E751AACF56D}"/>
            </c:ext>
          </c:extLst>
        </c:ser>
        <c:ser>
          <c:idx val="10"/>
          <c:order val="5"/>
          <c:tx>
            <c:v>Average</c:v>
          </c:tx>
          <c:errBars>
            <c:errDir val="y"/>
            <c:errBarType val="both"/>
            <c:errValType val="cust"/>
            <c:noEndCap val="0"/>
            <c:plus>
              <c:numRef>
                <c:f>Summary!$G$82:$G$94</c:f>
                <c:numCache>
                  <c:formatCode>General</c:formatCode>
                  <c:ptCount val="13"/>
                  <c:pt idx="0">
                    <c:v>0.21542834894811286</c:v>
                  </c:pt>
                  <c:pt idx="1">
                    <c:v>0.20973735571449079</c:v>
                  </c:pt>
                  <c:pt idx="2">
                    <c:v>0.22944759275917154</c:v>
                  </c:pt>
                  <c:pt idx="3">
                    <c:v>0.24995846551710943</c:v>
                  </c:pt>
                  <c:pt idx="4">
                    <c:v>0.23786071277105683</c:v>
                  </c:pt>
                  <c:pt idx="5">
                    <c:v>0.22274832711593406</c:v>
                  </c:pt>
                  <c:pt idx="6">
                    <c:v>0.20990539349770171</c:v>
                  </c:pt>
                  <c:pt idx="7">
                    <c:v>0.22477772029380849</c:v>
                  </c:pt>
                  <c:pt idx="8">
                    <c:v>0.23295269972829802</c:v>
                  </c:pt>
                  <c:pt idx="9">
                    <c:v>0.26298768236584469</c:v>
                  </c:pt>
                  <c:pt idx="10">
                    <c:v>0.26857716730558734</c:v>
                  </c:pt>
                  <c:pt idx="11">
                    <c:v>0.2923996096290471</c:v>
                  </c:pt>
                  <c:pt idx="12">
                    <c:v>0.30416448649894018</c:v>
                  </c:pt>
                </c:numCache>
              </c:numRef>
            </c:plus>
            <c:minus>
              <c:numRef>
                <c:f>Summary!$F$82:$F$94</c:f>
                <c:numCache>
                  <c:formatCode>General</c:formatCode>
                  <c:ptCount val="13"/>
                  <c:pt idx="0">
                    <c:v>0.21542834894811286</c:v>
                  </c:pt>
                  <c:pt idx="1">
                    <c:v>0.20973735571449079</c:v>
                  </c:pt>
                  <c:pt idx="2">
                    <c:v>0.22944759275917154</c:v>
                  </c:pt>
                  <c:pt idx="3">
                    <c:v>0.24995846551710943</c:v>
                  </c:pt>
                  <c:pt idx="4">
                    <c:v>0.23786071277105683</c:v>
                  </c:pt>
                  <c:pt idx="5">
                    <c:v>0.22274832711593406</c:v>
                  </c:pt>
                  <c:pt idx="6">
                    <c:v>0.20990539349770171</c:v>
                  </c:pt>
                  <c:pt idx="7">
                    <c:v>0.22477772029380849</c:v>
                  </c:pt>
                  <c:pt idx="8">
                    <c:v>0.23295269972829802</c:v>
                  </c:pt>
                  <c:pt idx="9">
                    <c:v>0.26298768236584469</c:v>
                  </c:pt>
                  <c:pt idx="10">
                    <c:v>0.26857716730558734</c:v>
                  </c:pt>
                  <c:pt idx="11">
                    <c:v>0.2923996096290471</c:v>
                  </c:pt>
                  <c:pt idx="12">
                    <c:v>0.30416448649894018</c:v>
                  </c:pt>
                </c:numCache>
              </c:numRef>
            </c:minus>
          </c:errBars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Summary!$P$82:$P$94</c:f>
              <c:numCache>
                <c:formatCode>General</c:formatCode>
                <c:ptCount val="13"/>
                <c:pt idx="0">
                  <c:v>1.5163410228667764</c:v>
                </c:pt>
                <c:pt idx="1">
                  <c:v>1.475574062858634</c:v>
                </c:pt>
                <c:pt idx="2">
                  <c:v>1.6058247975032365</c:v>
                </c:pt>
                <c:pt idx="3">
                  <c:v>1.7813591739160763</c:v>
                </c:pt>
                <c:pt idx="4">
                  <c:v>1.8245773110379986</c:v>
                </c:pt>
                <c:pt idx="5">
                  <c:v>1.7887113301512834</c:v>
                </c:pt>
                <c:pt idx="6">
                  <c:v>1.7492040077191717</c:v>
                </c:pt>
                <c:pt idx="7">
                  <c:v>1.6354213539186122</c:v>
                </c:pt>
                <c:pt idx="8">
                  <c:v>1.704547773533174</c:v>
                </c:pt>
                <c:pt idx="9">
                  <c:v>2.0015073423652159</c:v>
                </c:pt>
                <c:pt idx="10">
                  <c:v>2.040473384739923</c:v>
                </c:pt>
                <c:pt idx="11">
                  <c:v>2.1860250141176847</c:v>
                </c:pt>
                <c:pt idx="12">
                  <c:v>3.6951949947712395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F8-4A45-8B00-6E751AACF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368879"/>
        <c:axId val="1785435775"/>
      </c:scatterChart>
      <c:valAx>
        <c:axId val="178536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435775"/>
        <c:crosses val="autoZero"/>
        <c:crossBetween val="midCat"/>
        <c:majorUnit val="5.000000000000001E-2"/>
      </c:valAx>
      <c:valAx>
        <c:axId val="178543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368879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Success</a:t>
            </a:r>
            <a:r>
              <a:rPr lang="fr-FR" baseline="0"/>
              <a:t> Rate of CoVR reaching the VOI prior to the user interaction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Distractor</c:v>
          </c:tx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</c:spPr>
          </c:marker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Summary!$C$2:$C$14</c:f>
              <c:numCache>
                <c:formatCode>0.0%</c:formatCode>
                <c:ptCount val="13"/>
                <c:pt idx="0">
                  <c:v>0.98333333333333328</c:v>
                </c:pt>
                <c:pt idx="1">
                  <c:v>0.98333333333333328</c:v>
                </c:pt>
                <c:pt idx="2">
                  <c:v>0.98333333333333328</c:v>
                </c:pt>
                <c:pt idx="3">
                  <c:v>0.98333333333333328</c:v>
                </c:pt>
                <c:pt idx="4">
                  <c:v>0.98333333333333328</c:v>
                </c:pt>
                <c:pt idx="5">
                  <c:v>0.98333333333333328</c:v>
                </c:pt>
                <c:pt idx="6">
                  <c:v>0.98333333333333328</c:v>
                </c:pt>
                <c:pt idx="7">
                  <c:v>0.98333333333333328</c:v>
                </c:pt>
                <c:pt idx="8">
                  <c:v>0.98333333333333328</c:v>
                </c:pt>
                <c:pt idx="9">
                  <c:v>0.98333333333333328</c:v>
                </c:pt>
                <c:pt idx="10">
                  <c:v>0.98333333333333328</c:v>
                </c:pt>
                <c:pt idx="11">
                  <c:v>0.98333333333333328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28-B94E-9FDB-01D0625A1930}"/>
            </c:ext>
          </c:extLst>
        </c:ser>
        <c:ser>
          <c:idx val="6"/>
          <c:order val="1"/>
          <c:tx>
            <c:v>1 Distractor</c:v>
          </c:tx>
          <c:spPr>
            <a:ln w="31750">
              <a:solidFill>
                <a:schemeClr val="accent1">
                  <a:lumMod val="75000"/>
                </a:schemeClr>
              </a:solidFill>
            </a:ln>
          </c:spPr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Summary!$C$18:$C$30</c:f>
              <c:numCache>
                <c:formatCode>0.0%</c:formatCode>
                <c:ptCount val="13"/>
                <c:pt idx="0">
                  <c:v>0.8666666666666667</c:v>
                </c:pt>
                <c:pt idx="1">
                  <c:v>0.8666666666666667</c:v>
                </c:pt>
                <c:pt idx="2">
                  <c:v>0.8833333333333333</c:v>
                </c:pt>
                <c:pt idx="3">
                  <c:v>0.8666666666666667</c:v>
                </c:pt>
                <c:pt idx="4">
                  <c:v>0.8833333333333333</c:v>
                </c:pt>
                <c:pt idx="5">
                  <c:v>0.83606557377049184</c:v>
                </c:pt>
                <c:pt idx="6">
                  <c:v>0.8833333333333333</c:v>
                </c:pt>
                <c:pt idx="7">
                  <c:v>0.8666666666666667</c:v>
                </c:pt>
                <c:pt idx="8">
                  <c:v>0.81666666666666665</c:v>
                </c:pt>
                <c:pt idx="9">
                  <c:v>0.8</c:v>
                </c:pt>
                <c:pt idx="10">
                  <c:v>0.76666666666666672</c:v>
                </c:pt>
                <c:pt idx="11">
                  <c:v>0.56666666666666665</c:v>
                </c:pt>
                <c:pt idx="12">
                  <c:v>0.28333333333333333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28-B94E-9FDB-01D0625A1930}"/>
            </c:ext>
          </c:extLst>
        </c:ser>
        <c:ser>
          <c:idx val="7"/>
          <c:order val="2"/>
          <c:tx>
            <c:v>2 Distractors</c:v>
          </c:tx>
          <c:spPr>
            <a:ln w="317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Summary!$C$34:$C$46</c:f>
              <c:numCache>
                <c:formatCode>0.0%</c:formatCode>
                <c:ptCount val="13"/>
                <c:pt idx="0">
                  <c:v>0.71666666666666667</c:v>
                </c:pt>
                <c:pt idx="1">
                  <c:v>0.76666666666666672</c:v>
                </c:pt>
                <c:pt idx="2">
                  <c:v>0.8</c:v>
                </c:pt>
                <c:pt idx="3">
                  <c:v>0.83333333333333337</c:v>
                </c:pt>
                <c:pt idx="4">
                  <c:v>0.81666666666666665</c:v>
                </c:pt>
                <c:pt idx="5">
                  <c:v>0.81666666666666665</c:v>
                </c:pt>
                <c:pt idx="6">
                  <c:v>0.83333333333333337</c:v>
                </c:pt>
                <c:pt idx="7">
                  <c:v>0.81666666666666665</c:v>
                </c:pt>
                <c:pt idx="8">
                  <c:v>0.81666666666666665</c:v>
                </c:pt>
                <c:pt idx="9">
                  <c:v>0.71666666666666667</c:v>
                </c:pt>
                <c:pt idx="10">
                  <c:v>0.6166666666666667</c:v>
                </c:pt>
                <c:pt idx="11">
                  <c:v>0.46666666666666667</c:v>
                </c:pt>
                <c:pt idx="12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28-B94E-9FDB-01D0625A1930}"/>
            </c:ext>
          </c:extLst>
        </c:ser>
        <c:ser>
          <c:idx val="8"/>
          <c:order val="3"/>
          <c:tx>
            <c:v>3 Distractors</c:v>
          </c:tx>
          <c:spPr>
            <a:ln w="31750">
              <a:solidFill>
                <a:schemeClr val="accent1">
                  <a:lumMod val="20000"/>
                  <a:lumOff val="8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Summary!$C$50:$C$62</c:f>
              <c:numCache>
                <c:formatCode>0.0%</c:formatCode>
                <c:ptCount val="13"/>
                <c:pt idx="0">
                  <c:v>0.6333333333333333</c:v>
                </c:pt>
                <c:pt idx="1">
                  <c:v>0.6166666666666667</c:v>
                </c:pt>
                <c:pt idx="2">
                  <c:v>0.66666666666666663</c:v>
                </c:pt>
                <c:pt idx="3">
                  <c:v>0.6333333333333333</c:v>
                </c:pt>
                <c:pt idx="4">
                  <c:v>0.68333333333333335</c:v>
                </c:pt>
                <c:pt idx="5">
                  <c:v>0.68852459016393441</c:v>
                </c:pt>
                <c:pt idx="6">
                  <c:v>0.65</c:v>
                </c:pt>
                <c:pt idx="7">
                  <c:v>0.65</c:v>
                </c:pt>
                <c:pt idx="8">
                  <c:v>0.6166666666666667</c:v>
                </c:pt>
                <c:pt idx="9">
                  <c:v>0.6</c:v>
                </c:pt>
                <c:pt idx="10">
                  <c:v>0.56666666666666665</c:v>
                </c:pt>
                <c:pt idx="11">
                  <c:v>0.36666666666666664</c:v>
                </c:pt>
                <c:pt idx="12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28-B94E-9FDB-01D0625A1930}"/>
            </c:ext>
          </c:extLst>
        </c:ser>
        <c:ser>
          <c:idx val="9"/>
          <c:order val="4"/>
          <c:tx>
            <c:v>4 Distractors</c:v>
          </c:tx>
          <c:spPr>
            <a:ln w="317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Summary!$C$66:$C$78</c:f>
              <c:numCache>
                <c:formatCode>0.0%</c:formatCode>
                <c:ptCount val="13"/>
                <c:pt idx="0">
                  <c:v>0.6333333333333333</c:v>
                </c:pt>
                <c:pt idx="1">
                  <c:v>0.6333333333333333</c:v>
                </c:pt>
                <c:pt idx="2">
                  <c:v>0.65</c:v>
                </c:pt>
                <c:pt idx="3">
                  <c:v>0.66666666666666663</c:v>
                </c:pt>
                <c:pt idx="4">
                  <c:v>0.68333333333333335</c:v>
                </c:pt>
                <c:pt idx="5">
                  <c:v>0.66666666666666663</c:v>
                </c:pt>
                <c:pt idx="6">
                  <c:v>0.68333333333333335</c:v>
                </c:pt>
                <c:pt idx="7">
                  <c:v>0.66666666666666663</c:v>
                </c:pt>
                <c:pt idx="8">
                  <c:v>0.65</c:v>
                </c:pt>
                <c:pt idx="9">
                  <c:v>0.6</c:v>
                </c:pt>
                <c:pt idx="10">
                  <c:v>0.51666666666666672</c:v>
                </c:pt>
                <c:pt idx="11">
                  <c:v>0.43333333333333335</c:v>
                </c:pt>
                <c:pt idx="12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28-B94E-9FDB-01D0625A1930}"/>
            </c:ext>
          </c:extLst>
        </c:ser>
        <c:ser>
          <c:idx val="1"/>
          <c:order val="5"/>
          <c:tx>
            <c:v>Average</c:v>
          </c:tx>
          <c:spPr>
            <a:ln w="508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Summary!$S$82:$S$94</c:f>
                <c:numCache>
                  <c:formatCode>General</c:formatCode>
                  <c:ptCount val="13"/>
                  <c:pt idx="0">
                    <c:v>0.17719394670811958</c:v>
                  </c:pt>
                  <c:pt idx="1">
                    <c:v>0.17904943130320225</c:v>
                  </c:pt>
                  <c:pt idx="2">
                    <c:v>0.16339284301951523</c:v>
                  </c:pt>
                  <c:pt idx="3">
                    <c:v>0.1672797265062331</c:v>
                  </c:pt>
                  <c:pt idx="4">
                    <c:v>0.14942305578457457</c:v>
                  </c:pt>
                  <c:pt idx="5">
                    <c:v>0.14699609105151845</c:v>
                  </c:pt>
                  <c:pt idx="6">
                    <c:v>0.16010081230274931</c:v>
                  </c:pt>
                  <c:pt idx="7">
                    <c:v>0.16112967495157471</c:v>
                  </c:pt>
                  <c:pt idx="8">
                    <c:v>0.17010964287776392</c:v>
                  </c:pt>
                  <c:pt idx="9">
                    <c:v>0.1841054625751225</c:v>
                  </c:pt>
                  <c:pt idx="10">
                    <c:v>0.21705967693240458</c:v>
                  </c:pt>
                  <c:pt idx="11">
                    <c:v>0.28242018589328932</c:v>
                  </c:pt>
                  <c:pt idx="12">
                    <c:v>0.42014856556937086</c:v>
                  </c:pt>
                </c:numCache>
              </c:numRef>
            </c:plus>
            <c:minus>
              <c:numRef>
                <c:f>Summary!$S$82:$S$94</c:f>
                <c:numCache>
                  <c:formatCode>General</c:formatCode>
                  <c:ptCount val="13"/>
                  <c:pt idx="0">
                    <c:v>0.17719394670811958</c:v>
                  </c:pt>
                  <c:pt idx="1">
                    <c:v>0.17904943130320225</c:v>
                  </c:pt>
                  <c:pt idx="2">
                    <c:v>0.16339284301951523</c:v>
                  </c:pt>
                  <c:pt idx="3">
                    <c:v>0.1672797265062331</c:v>
                  </c:pt>
                  <c:pt idx="4">
                    <c:v>0.14942305578457457</c:v>
                  </c:pt>
                  <c:pt idx="5">
                    <c:v>0.14699609105151845</c:v>
                  </c:pt>
                  <c:pt idx="6">
                    <c:v>0.16010081230274931</c:v>
                  </c:pt>
                  <c:pt idx="7">
                    <c:v>0.16112967495157471</c:v>
                  </c:pt>
                  <c:pt idx="8">
                    <c:v>0.17010964287776392</c:v>
                  </c:pt>
                  <c:pt idx="9">
                    <c:v>0.1841054625751225</c:v>
                  </c:pt>
                  <c:pt idx="10">
                    <c:v>0.21705967693240458</c:v>
                  </c:pt>
                  <c:pt idx="11">
                    <c:v>0.28242018589328932</c:v>
                  </c:pt>
                  <c:pt idx="12">
                    <c:v>0.42014856556937086</c:v>
                  </c:pt>
                </c:numCache>
              </c:numRef>
            </c:minus>
            <c:spPr>
              <a:ln w="12700">
                <a:solidFill>
                  <a:schemeClr val="accent1"/>
                </a:solidFill>
              </a:ln>
            </c:spPr>
          </c:errBars>
          <c:xVal>
            <c:numRef>
              <c:f>Summary!$B$2:$B$14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Summary!$C$82:$C$94</c:f>
              <c:numCache>
                <c:formatCode>0%</c:formatCode>
                <c:ptCount val="13"/>
                <c:pt idx="0">
                  <c:v>0.76666666666666672</c:v>
                </c:pt>
                <c:pt idx="1">
                  <c:v>0.77333333333333332</c:v>
                </c:pt>
                <c:pt idx="2">
                  <c:v>0.79666666666666663</c:v>
                </c:pt>
                <c:pt idx="3">
                  <c:v>0.79666666666666663</c:v>
                </c:pt>
                <c:pt idx="4">
                  <c:v>0.80999999999999994</c:v>
                </c:pt>
                <c:pt idx="5">
                  <c:v>0.79825136612021852</c:v>
                </c:pt>
                <c:pt idx="6">
                  <c:v>0.80666666666666664</c:v>
                </c:pt>
                <c:pt idx="7">
                  <c:v>0.79666666666666663</c:v>
                </c:pt>
                <c:pt idx="8">
                  <c:v>0.77666666666666662</c:v>
                </c:pt>
                <c:pt idx="9">
                  <c:v>0.74</c:v>
                </c:pt>
                <c:pt idx="10">
                  <c:v>0.69000000000000006</c:v>
                </c:pt>
                <c:pt idx="11">
                  <c:v>0.56333333333333324</c:v>
                </c:pt>
                <c:pt idx="12">
                  <c:v>0.35333333333333333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28-B94E-9FDB-01D0625A1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368879"/>
        <c:axId val="1785435775"/>
      </c:scatterChart>
      <c:valAx>
        <c:axId val="1785368879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435775"/>
        <c:crosses val="autoZero"/>
        <c:crossBetween val="midCat"/>
        <c:majorUnit val="5.000000000000001E-2"/>
      </c:valAx>
      <c:valAx>
        <c:axId val="178543577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368879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9725213192061284"/>
          <c:y val="0.93129546894412507"/>
          <c:w val="0.41227252565475059"/>
          <c:h val="5.6165346102897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Detection</a:t>
            </a:r>
            <a:r>
              <a:rPr lang="fr-FR" baseline="0"/>
              <a:t> Time for Target Weight = 1 (in s)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Summary!$I$81</c:f>
              <c:strCache>
                <c:ptCount val="1"/>
                <c:pt idx="0">
                  <c:v>Average Intention Time Known (Success)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Summary!$B$82:$B$94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Summary!$I$82:$I$94</c:f>
              <c:numCache>
                <c:formatCode>General</c:formatCode>
                <c:ptCount val="13"/>
                <c:pt idx="0">
                  <c:v>5.9651243729309096</c:v>
                </c:pt>
                <c:pt idx="1">
                  <c:v>5.8651407659580777</c:v>
                </c:pt>
                <c:pt idx="2">
                  <c:v>6.0325514167791168</c:v>
                </c:pt>
                <c:pt idx="3">
                  <c:v>6.4684934929211666</c:v>
                </c:pt>
                <c:pt idx="4">
                  <c:v>7.0240140248007474</c:v>
                </c:pt>
                <c:pt idx="5">
                  <c:v>6.5529410074347325</c:v>
                </c:pt>
                <c:pt idx="6">
                  <c:v>7.1491213685013859</c:v>
                </c:pt>
                <c:pt idx="7">
                  <c:v>6.2195252822966225</c:v>
                </c:pt>
                <c:pt idx="8">
                  <c:v>5.0629886225911189</c:v>
                </c:pt>
                <c:pt idx="9">
                  <c:v>4.7778234268795599</c:v>
                </c:pt>
                <c:pt idx="10">
                  <c:v>4.2922453712121325</c:v>
                </c:pt>
                <c:pt idx="11">
                  <c:v>3.7143367375927996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A5-D140-946B-3ADFC03E0422}"/>
            </c:ext>
          </c:extLst>
        </c:ser>
        <c:ser>
          <c:idx val="1"/>
          <c:order val="1"/>
          <c:tx>
            <c:strRef>
              <c:f>Summary!$L$81</c:f>
              <c:strCache>
                <c:ptCount val="1"/>
                <c:pt idx="0">
                  <c:v>Average Intention Time Known (Failure)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Summary!$B$82:$B$94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Summary!$L$82:$L$95</c:f>
              <c:numCache>
                <c:formatCode>General</c:formatCode>
                <c:ptCount val="14"/>
                <c:pt idx="0">
                  <c:v>3.3788767002801037</c:v>
                </c:pt>
                <c:pt idx="1">
                  <c:v>3.4545536633366369</c:v>
                </c:pt>
                <c:pt idx="2">
                  <c:v>3.5234659473684573</c:v>
                </c:pt>
                <c:pt idx="3">
                  <c:v>3.3837446616540534</c:v>
                </c:pt>
                <c:pt idx="4">
                  <c:v>3.9932293784907835</c:v>
                </c:pt>
                <c:pt idx="5">
                  <c:v>3.9929946608946389</c:v>
                </c:pt>
                <c:pt idx="6">
                  <c:v>3.6690493071895078</c:v>
                </c:pt>
                <c:pt idx="7">
                  <c:v>2.8357901960783538</c:v>
                </c:pt>
                <c:pt idx="8">
                  <c:v>2.2765801169591562</c:v>
                </c:pt>
                <c:pt idx="9">
                  <c:v>2.1007849215686081</c:v>
                </c:pt>
                <c:pt idx="10">
                  <c:v>1.5966937566844177</c:v>
                </c:pt>
                <c:pt idx="11">
                  <c:v>1.4798771988795478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A5-D140-946B-3ADFC03E0422}"/>
            </c:ext>
          </c:extLst>
        </c:ser>
        <c:ser>
          <c:idx val="2"/>
          <c:order val="2"/>
          <c:tx>
            <c:v>1Target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Summary!$B$82:$B$94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Summary!$I$2:$I$13</c:f>
              <c:numCache>
                <c:formatCode>General</c:formatCode>
                <c:ptCount val="12"/>
                <c:pt idx="0">
                  <c:v>0.21641759999999999</c:v>
                </c:pt>
                <c:pt idx="1">
                  <c:v>0.20867954</c:v>
                </c:pt>
                <c:pt idx="2">
                  <c:v>0.22601566000000001</c:v>
                </c:pt>
                <c:pt idx="3">
                  <c:v>0.27256833999999902</c:v>
                </c:pt>
                <c:pt idx="4">
                  <c:v>0.20177044999999899</c:v>
                </c:pt>
                <c:pt idx="5">
                  <c:v>0.19988359999999999</c:v>
                </c:pt>
                <c:pt idx="6">
                  <c:v>0.17508898000000001</c:v>
                </c:pt>
                <c:pt idx="7">
                  <c:v>0.37395872000000002</c:v>
                </c:pt>
                <c:pt idx="8">
                  <c:v>0.3728224</c:v>
                </c:pt>
                <c:pt idx="9">
                  <c:v>0.38636945</c:v>
                </c:pt>
                <c:pt idx="10">
                  <c:v>0.51149087999999998</c:v>
                </c:pt>
                <c:pt idx="11">
                  <c:v>0.122729359999999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A5-D140-946B-3ADFC03E0422}"/>
            </c:ext>
          </c:extLst>
        </c:ser>
        <c:ser>
          <c:idx val="3"/>
          <c:order val="3"/>
          <c:tx>
            <c:v>2Targets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Summary!$B$82:$B$94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Summary!$H$18:$H$30</c:f>
              <c:numCache>
                <c:formatCode>General</c:formatCode>
                <c:ptCount val="13"/>
                <c:pt idx="0">
                  <c:v>5.5025045769230729</c:v>
                </c:pt>
                <c:pt idx="1">
                  <c:v>5.2523788461538725</c:v>
                </c:pt>
                <c:pt idx="2">
                  <c:v>5.6566463461538294</c:v>
                </c:pt>
                <c:pt idx="3">
                  <c:v>5.6068431372549368</c:v>
                </c:pt>
                <c:pt idx="4">
                  <c:v>7.8997997499999988</c:v>
                </c:pt>
                <c:pt idx="5">
                  <c:v>6.3362126530612501</c:v>
                </c:pt>
                <c:pt idx="6">
                  <c:v>6.338751923076912</c:v>
                </c:pt>
                <c:pt idx="7">
                  <c:v>5.4186799999999797</c:v>
                </c:pt>
                <c:pt idx="8">
                  <c:v>5.0550947916665905</c:v>
                </c:pt>
                <c:pt idx="9">
                  <c:v>4.5416326086955667</c:v>
                </c:pt>
                <c:pt idx="10">
                  <c:v>4.2077272727272552</c:v>
                </c:pt>
                <c:pt idx="11">
                  <c:v>3.9082092307692169</c:v>
                </c:pt>
                <c:pt idx="12">
                  <c:v>2.573499999999965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A5-D140-946B-3ADFC03E0422}"/>
            </c:ext>
          </c:extLst>
        </c:ser>
        <c:ser>
          <c:idx val="4"/>
          <c:order val="4"/>
          <c:tx>
            <c:v>3Targets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Summary!$B$82:$B$94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Summary!$H$34:$H$45</c:f>
              <c:numCache>
                <c:formatCode>General</c:formatCode>
                <c:ptCount val="12"/>
                <c:pt idx="0">
                  <c:v>6.8859429268292525</c:v>
                </c:pt>
                <c:pt idx="1">
                  <c:v>6.2376772727272733</c:v>
                </c:pt>
                <c:pt idx="2">
                  <c:v>6.4990822222221833</c:v>
                </c:pt>
                <c:pt idx="3">
                  <c:v>6.0831489361702191</c:v>
                </c:pt>
                <c:pt idx="4">
                  <c:v>6.9776186956521693</c:v>
                </c:pt>
                <c:pt idx="5">
                  <c:v>6.9404347826087003</c:v>
                </c:pt>
                <c:pt idx="6">
                  <c:v>7.6888478260869357</c:v>
                </c:pt>
                <c:pt idx="7">
                  <c:v>9.6793863636363042</c:v>
                </c:pt>
                <c:pt idx="8">
                  <c:v>5.4424434090908882</c:v>
                </c:pt>
                <c:pt idx="9">
                  <c:v>5.1176864864865168</c:v>
                </c:pt>
                <c:pt idx="10">
                  <c:v>4.2018125000000417</c:v>
                </c:pt>
                <c:pt idx="11">
                  <c:v>3.3545724999999962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A5-D140-946B-3ADFC03E0422}"/>
            </c:ext>
          </c:extLst>
        </c:ser>
        <c:ser>
          <c:idx val="5"/>
          <c:order val="5"/>
          <c:tx>
            <c:v>4Targets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Summary!$B$82:$B$94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Summary!$H$50:$H$62</c:f>
              <c:numCache>
                <c:formatCode>General</c:formatCode>
                <c:ptCount val="13"/>
                <c:pt idx="0">
                  <c:v>6.3869185714285637</c:v>
                </c:pt>
                <c:pt idx="1">
                  <c:v>6.3588837837837557</c:v>
                </c:pt>
                <c:pt idx="2">
                  <c:v>6.2870923076923129</c:v>
                </c:pt>
                <c:pt idx="3">
                  <c:v>9.4658648648649031</c:v>
                </c:pt>
                <c:pt idx="4">
                  <c:v>7.2690392307692235</c:v>
                </c:pt>
                <c:pt idx="5">
                  <c:v>6.8703263157894341</c:v>
                </c:pt>
                <c:pt idx="6">
                  <c:v>6.518707894736858</c:v>
                </c:pt>
                <c:pt idx="7">
                  <c:v>5.4379736842105411</c:v>
                </c:pt>
                <c:pt idx="8">
                  <c:v>4.9183272972973109</c:v>
                </c:pt>
                <c:pt idx="9">
                  <c:v>4.6325285714286411</c:v>
                </c:pt>
                <c:pt idx="10">
                  <c:v>4.1575937500000002</c:v>
                </c:pt>
                <c:pt idx="11">
                  <c:v>4.1326368421052679</c:v>
                </c:pt>
                <c:pt idx="12">
                  <c:v>1.1194999999998951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A5-D140-946B-3ADFC03E0422}"/>
            </c:ext>
          </c:extLst>
        </c:ser>
        <c:ser>
          <c:idx val="6"/>
          <c:order val="6"/>
          <c:tx>
            <c:v>5Targets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Summary!$B$18:$B$31</c:f>
              <c:numCache>
                <c:formatCode>General</c:formatCode>
                <c:ptCount val="1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</c:numCache>
            </c:numRef>
          </c:xVal>
          <c:yVal>
            <c:numRef>
              <c:f>Summary!$H$66:$H$78</c:f>
              <c:numCache>
                <c:formatCode>General</c:formatCode>
                <c:ptCount val="13"/>
                <c:pt idx="0">
                  <c:v>5.6424473684210392</c:v>
                </c:pt>
                <c:pt idx="1">
                  <c:v>6.1183341025640994</c:v>
                </c:pt>
                <c:pt idx="2">
                  <c:v>6.1183341025640994</c:v>
                </c:pt>
                <c:pt idx="3">
                  <c:v>5.9864000000000512</c:v>
                </c:pt>
                <c:pt idx="4">
                  <c:v>6.7451912195121837</c:v>
                </c:pt>
                <c:pt idx="5">
                  <c:v>6.631954500000063</c:v>
                </c:pt>
                <c:pt idx="6">
                  <c:v>6.7349563414633877</c:v>
                </c:pt>
                <c:pt idx="7">
                  <c:v>5.707149999999916</c:v>
                </c:pt>
                <c:pt idx="8">
                  <c:v>5.3951802564102351</c:v>
                </c:pt>
                <c:pt idx="9">
                  <c:v>5.4655114285714079</c:v>
                </c:pt>
                <c:pt idx="10">
                  <c:v>5.3095333333333858</c:v>
                </c:pt>
                <c:pt idx="11">
                  <c:v>4.6962721739130391</c:v>
                </c:pt>
                <c:pt idx="12">
                  <c:v>4.1039999999999202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AA5-D140-946B-3ADFC03E0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784847"/>
        <c:axId val="1932371647"/>
      </c:scatterChart>
      <c:valAx>
        <c:axId val="19277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2371647"/>
        <c:crosses val="autoZero"/>
        <c:crossBetween val="midCat"/>
        <c:majorUnit val="5.000000000000001E-2"/>
      </c:valAx>
      <c:valAx>
        <c:axId val="193237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77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Average</a:t>
            </a:r>
            <a:r>
              <a:rPr lang="fr-FR" baseline="0"/>
              <a:t> Success of Target Weight = 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Summary!$B$82:$B$94</c:f>
              <c:numCache>
                <c:formatCode>General</c:formatCode>
                <c:ptCount val="1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0.5</c:v>
                </c:pt>
                <c:pt idx="12">
                  <c:v>0.75</c:v>
                </c:pt>
              </c:numCache>
            </c:numRef>
          </c:xVal>
          <c:yVal>
            <c:numRef>
              <c:f>Summary!$O$82:$O$94</c:f>
              <c:numCache>
                <c:formatCode>0.0%</c:formatCode>
                <c:ptCount val="13"/>
                <c:pt idx="0">
                  <c:v>0.97666666666666657</c:v>
                </c:pt>
                <c:pt idx="1">
                  <c:v>0.97333333333333327</c:v>
                </c:pt>
                <c:pt idx="2">
                  <c:v>0.96666666666666656</c:v>
                </c:pt>
                <c:pt idx="3">
                  <c:v>0.96333333333333326</c:v>
                </c:pt>
                <c:pt idx="4">
                  <c:v>0.95666666666666667</c:v>
                </c:pt>
                <c:pt idx="5">
                  <c:v>0.94710382513661207</c:v>
                </c:pt>
                <c:pt idx="6">
                  <c:v>0.94666666666666666</c:v>
                </c:pt>
                <c:pt idx="7">
                  <c:v>0.92999999999999994</c:v>
                </c:pt>
                <c:pt idx="8">
                  <c:v>0.92333333333333323</c:v>
                </c:pt>
                <c:pt idx="9">
                  <c:v>0.88333333333333341</c:v>
                </c:pt>
                <c:pt idx="10">
                  <c:v>0.84666666666666646</c:v>
                </c:pt>
                <c:pt idx="11">
                  <c:v>0.59666666666666657</c:v>
                </c:pt>
                <c:pt idx="12">
                  <c:v>4.6666666666666669E-2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22-5A4C-B92E-4BEF4EE1B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858719"/>
        <c:axId val="1831001359"/>
      </c:scatterChart>
      <c:valAx>
        <c:axId val="193885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1001359"/>
        <c:crosses val="autoZero"/>
        <c:crossBetween val="midCat"/>
        <c:majorUnit val="5.000000000000001E-2"/>
      </c:valAx>
      <c:valAx>
        <c:axId val="18310013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8858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Average Distance to Target at Collision (in</a:t>
            </a:r>
            <a:r>
              <a:rPr lang="fr-FR" baseline="0"/>
              <a:t> cm)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1Target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Feuil1!$D$2:$D$12</c:f>
              <c:numCache>
                <c:formatCode>General</c:formatCode>
                <c:ptCount val="11"/>
                <c:pt idx="0">
                  <c:v>0.92731198305084661</c:v>
                </c:pt>
                <c:pt idx="1">
                  <c:v>0.92164405084745582</c:v>
                </c:pt>
                <c:pt idx="2">
                  <c:v>0.94753425423728632</c:v>
                </c:pt>
                <c:pt idx="3">
                  <c:v>0.90027989830508104</c:v>
                </c:pt>
                <c:pt idx="4">
                  <c:v>0.91654140677965912</c:v>
                </c:pt>
                <c:pt idx="5">
                  <c:v>0.86124976271186193</c:v>
                </c:pt>
                <c:pt idx="6">
                  <c:v>0.86324532203389748</c:v>
                </c:pt>
                <c:pt idx="7">
                  <c:v>0.85657545762711818</c:v>
                </c:pt>
                <c:pt idx="8">
                  <c:v>0.86585577966101623</c:v>
                </c:pt>
                <c:pt idx="9">
                  <c:v>0.4030932881355932</c:v>
                </c:pt>
                <c:pt idx="10">
                  <c:v>0.42443653333333459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543-CF4A-8A21-1EEB2C22FC7F}"/>
            </c:ext>
          </c:extLst>
        </c:ser>
        <c:ser>
          <c:idx val="6"/>
          <c:order val="1"/>
          <c:tx>
            <c:v>2Targets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Feuil1!$D$16:$D$26</c:f>
              <c:numCache>
                <c:formatCode>General</c:formatCode>
                <c:ptCount val="11"/>
                <c:pt idx="0">
                  <c:v>1.6229844423076905</c:v>
                </c:pt>
                <c:pt idx="1">
                  <c:v>1.3964737307692316</c:v>
                </c:pt>
                <c:pt idx="2">
                  <c:v>1.4426264528301858</c:v>
                </c:pt>
                <c:pt idx="3">
                  <c:v>1.4657094615384629</c:v>
                </c:pt>
                <c:pt idx="4">
                  <c:v>1.3558929600000023</c:v>
                </c:pt>
                <c:pt idx="5">
                  <c:v>1.468383269230767</c:v>
                </c:pt>
                <c:pt idx="6">
                  <c:v>1.439551469387754</c:v>
                </c:pt>
                <c:pt idx="7">
                  <c:v>1.9843652916666665</c:v>
                </c:pt>
                <c:pt idx="8">
                  <c:v>2.1775529782608696</c:v>
                </c:pt>
                <c:pt idx="9">
                  <c:v>2.7828173823529379</c:v>
                </c:pt>
                <c:pt idx="10">
                  <c:v>4.0933915294117611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543-CF4A-8A21-1EEB2C22FC7F}"/>
            </c:ext>
          </c:extLst>
        </c:ser>
        <c:ser>
          <c:idx val="7"/>
          <c:order val="2"/>
          <c:tx>
            <c:v>3Targets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Feuil1!$D$30:$D$40</c:f>
              <c:numCache>
                <c:formatCode>General</c:formatCode>
                <c:ptCount val="11"/>
                <c:pt idx="0">
                  <c:v>2.1604057209302328</c:v>
                </c:pt>
                <c:pt idx="1">
                  <c:v>2.275114391304347</c:v>
                </c:pt>
                <c:pt idx="2">
                  <c:v>2.3755551458333333</c:v>
                </c:pt>
                <c:pt idx="3">
                  <c:v>2.4145322399999967</c:v>
                </c:pt>
                <c:pt idx="4">
                  <c:v>2.4050610199999967</c:v>
                </c:pt>
                <c:pt idx="5">
                  <c:v>2.1229984081632622</c:v>
                </c:pt>
                <c:pt idx="6">
                  <c:v>2.5245185918367326</c:v>
                </c:pt>
                <c:pt idx="7">
                  <c:v>2.4338689069767443</c:v>
                </c:pt>
                <c:pt idx="8">
                  <c:v>2.0844605405405412</c:v>
                </c:pt>
                <c:pt idx="9">
                  <c:v>3.1293230714285705</c:v>
                </c:pt>
                <c:pt idx="10">
                  <c:v>4.49688911111111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543-CF4A-8A21-1EEB2C22FC7F}"/>
            </c:ext>
          </c:extLst>
        </c:ser>
        <c:ser>
          <c:idx val="8"/>
          <c:order val="3"/>
          <c:tx>
            <c:v>4Targets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Feuil1!$D$44:$D$54</c:f>
              <c:numCache>
                <c:formatCode>General</c:formatCode>
                <c:ptCount val="11"/>
                <c:pt idx="0">
                  <c:v>1.2897391785714318</c:v>
                </c:pt>
                <c:pt idx="1">
                  <c:v>1.3777177567567549</c:v>
                </c:pt>
                <c:pt idx="2">
                  <c:v>1.8564877499999972</c:v>
                </c:pt>
                <c:pt idx="3">
                  <c:v>2.0910953947368438</c:v>
                </c:pt>
                <c:pt idx="4">
                  <c:v>1.9517213421052604</c:v>
                </c:pt>
                <c:pt idx="5">
                  <c:v>2.0801031794871747</c:v>
                </c:pt>
                <c:pt idx="6">
                  <c:v>1.848541945945948</c:v>
                </c:pt>
                <c:pt idx="7">
                  <c:v>2.3451587777777743</c:v>
                </c:pt>
                <c:pt idx="8">
                  <c:v>3.1685302058823508</c:v>
                </c:pt>
                <c:pt idx="9">
                  <c:v>2.5169706363636317</c:v>
                </c:pt>
                <c:pt idx="10">
                  <c:v>5.3906760999999959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543-CF4A-8A21-1EEB2C22FC7F}"/>
            </c:ext>
          </c:extLst>
        </c:ser>
        <c:ser>
          <c:idx val="9"/>
          <c:order val="4"/>
          <c:tx>
            <c:v>5Targets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Feuil1!$D$58:$D$68</c:f>
              <c:numCache>
                <c:formatCode>General</c:formatCode>
                <c:ptCount val="11"/>
                <c:pt idx="0">
                  <c:v>1.5812638000000001</c:v>
                </c:pt>
                <c:pt idx="1">
                  <c:v>1.4069204</c:v>
                </c:pt>
                <c:pt idx="2">
                  <c:v>1.4069204</c:v>
                </c:pt>
                <c:pt idx="3">
                  <c:v>2.0351789</c:v>
                </c:pt>
                <c:pt idx="4">
                  <c:v>1.6864706</c:v>
                </c:pt>
                <c:pt idx="5">
                  <c:v>1.6443722000000001</c:v>
                </c:pt>
                <c:pt idx="6">
                  <c:v>1.8468814999999998</c:v>
                </c:pt>
                <c:pt idx="7">
                  <c:v>2.3875683000000003</c:v>
                </c:pt>
                <c:pt idx="8">
                  <c:v>1.9059673999999998</c:v>
                </c:pt>
                <c:pt idx="9">
                  <c:v>2.0979207</c:v>
                </c:pt>
                <c:pt idx="10">
                  <c:v>4.0705817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543-CF4A-8A21-1EEB2C22FC7F}"/>
            </c:ext>
          </c:extLst>
        </c:ser>
        <c:ser>
          <c:idx val="10"/>
          <c:order val="5"/>
          <c:tx>
            <c:v>Average</c:v>
          </c:tx>
          <c:errBars>
            <c:errDir val="y"/>
            <c:errBarType val="both"/>
            <c:errValType val="cust"/>
            <c:noEndCap val="0"/>
            <c:plus>
              <c:numRef>
                <c:f>Feuil1!$H$72:$H$82</c:f>
                <c:numCache>
                  <c:formatCode>General</c:formatCode>
                  <c:ptCount val="11"/>
                  <c:pt idx="0">
                    <c:v>0.21542833789983004</c:v>
                  </c:pt>
                  <c:pt idx="1">
                    <c:v>0.20973734566549462</c:v>
                  </c:pt>
                  <c:pt idx="2">
                    <c:v>0.22944758271017532</c:v>
                  </c:pt>
                  <c:pt idx="3">
                    <c:v>0.24995847421844142</c:v>
                  </c:pt>
                  <c:pt idx="4">
                    <c:v>0.21994814377200189</c:v>
                  </c:pt>
                  <c:pt idx="5">
                    <c:v>0.22477771316513204</c:v>
                  </c:pt>
                  <c:pt idx="6">
                    <c:v>0.2329527023139219</c:v>
                  </c:pt>
                  <c:pt idx="7">
                    <c:v>0.26298768513443421</c:v>
                  </c:pt>
                  <c:pt idx="8">
                    <c:v>0.26857716524522246</c:v>
                  </c:pt>
                  <c:pt idx="9">
                    <c:v>0.2923996204175186</c:v>
                  </c:pt>
                  <c:pt idx="10">
                    <c:v>0.30416449195727158</c:v>
                  </c:pt>
                </c:numCache>
              </c:numRef>
            </c:plus>
            <c:minus>
              <c:numRef>
                <c:f>Feuil1!$G$72:$G$82</c:f>
                <c:numCache>
                  <c:formatCode>General</c:formatCode>
                  <c:ptCount val="11"/>
                  <c:pt idx="0">
                    <c:v>0.21542833789983004</c:v>
                  </c:pt>
                  <c:pt idx="1">
                    <c:v>0.20973734566549462</c:v>
                  </c:pt>
                  <c:pt idx="2">
                    <c:v>0.22944758271017532</c:v>
                  </c:pt>
                  <c:pt idx="3">
                    <c:v>0.24995847421844142</c:v>
                  </c:pt>
                  <c:pt idx="4">
                    <c:v>0.21994814377200189</c:v>
                  </c:pt>
                  <c:pt idx="5">
                    <c:v>0.22477771316513204</c:v>
                  </c:pt>
                  <c:pt idx="6">
                    <c:v>0.2329527023139219</c:v>
                  </c:pt>
                  <c:pt idx="7">
                    <c:v>0.26298768513443421</c:v>
                  </c:pt>
                  <c:pt idx="8">
                    <c:v>0.26857716524522246</c:v>
                  </c:pt>
                  <c:pt idx="9">
                    <c:v>0.2923996204175186</c:v>
                  </c:pt>
                  <c:pt idx="10">
                    <c:v>0.30416449195727158</c:v>
                  </c:pt>
                </c:numCache>
              </c:numRef>
            </c:minus>
          </c:errBars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Feuil1!$D$72:$D$82</c:f>
              <c:numCache>
                <c:formatCode>General</c:formatCode>
                <c:ptCount val="11"/>
                <c:pt idx="0">
                  <c:v>1.5163410249720404</c:v>
                </c:pt>
                <c:pt idx="1">
                  <c:v>1.4755740659355578</c:v>
                </c:pt>
                <c:pt idx="2">
                  <c:v>1.6058248005801605</c:v>
                </c:pt>
                <c:pt idx="3">
                  <c:v>1.7813591789160768</c:v>
                </c:pt>
                <c:pt idx="4">
                  <c:v>1.6631374657769835</c:v>
                </c:pt>
                <c:pt idx="5">
                  <c:v>1.635421363918613</c:v>
                </c:pt>
                <c:pt idx="6">
                  <c:v>1.7045477658408665</c:v>
                </c:pt>
                <c:pt idx="7">
                  <c:v>2.0015073468096607</c:v>
                </c:pt>
                <c:pt idx="8">
                  <c:v>2.0404733808689555</c:v>
                </c:pt>
                <c:pt idx="9">
                  <c:v>2.1860250156561469</c:v>
                </c:pt>
                <c:pt idx="10">
                  <c:v>3.6951949947712399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543-CF4A-8A21-1EEB2C22F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368879"/>
        <c:axId val="1785435775"/>
      </c:scatterChart>
      <c:valAx>
        <c:axId val="178536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435775"/>
        <c:crosses val="autoZero"/>
        <c:crossBetween val="midCat"/>
        <c:majorUnit val="5.000000000000001E-2"/>
      </c:valAx>
      <c:valAx>
        <c:axId val="178543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368879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Success</a:t>
            </a:r>
            <a:r>
              <a:rPr lang="fr-FR" baseline="0"/>
              <a:t> Rate of CoVR reaching the VOI prior to the user interaction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1Target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Feuil1!$C$2:$C$12</c:f>
              <c:numCache>
                <c:formatCode>0%</c:formatCode>
                <c:ptCount val="11"/>
                <c:pt idx="0">
                  <c:v>0.98333333333333328</c:v>
                </c:pt>
                <c:pt idx="1">
                  <c:v>0.98333333333333328</c:v>
                </c:pt>
                <c:pt idx="2">
                  <c:v>0.98333333333333328</c:v>
                </c:pt>
                <c:pt idx="3">
                  <c:v>0.98333333333333328</c:v>
                </c:pt>
                <c:pt idx="4">
                  <c:v>0.98333333333333328</c:v>
                </c:pt>
                <c:pt idx="5">
                  <c:v>0.98333333333333328</c:v>
                </c:pt>
                <c:pt idx="6">
                  <c:v>0.98333333333333328</c:v>
                </c:pt>
                <c:pt idx="7">
                  <c:v>0.98333333333333328</c:v>
                </c:pt>
                <c:pt idx="8">
                  <c:v>0.98333333333333328</c:v>
                </c:pt>
                <c:pt idx="9">
                  <c:v>0.98333333333333328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31-E24B-8F69-BEABB1485A2E}"/>
            </c:ext>
          </c:extLst>
        </c:ser>
        <c:ser>
          <c:idx val="6"/>
          <c:order val="1"/>
          <c:tx>
            <c:v>2Targets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Feuil1!$C$16:$C$26</c:f>
              <c:numCache>
                <c:formatCode>0%</c:formatCode>
                <c:ptCount val="11"/>
                <c:pt idx="0">
                  <c:v>0.8666666666666667</c:v>
                </c:pt>
                <c:pt idx="1">
                  <c:v>0.8666666666666667</c:v>
                </c:pt>
                <c:pt idx="2">
                  <c:v>0.8833333333333333</c:v>
                </c:pt>
                <c:pt idx="3">
                  <c:v>0.8666666666666667</c:v>
                </c:pt>
                <c:pt idx="4">
                  <c:v>0.8666666666666667</c:v>
                </c:pt>
                <c:pt idx="5">
                  <c:v>0.8666666666666667</c:v>
                </c:pt>
                <c:pt idx="6">
                  <c:v>0.81666666666666665</c:v>
                </c:pt>
                <c:pt idx="7">
                  <c:v>0.8</c:v>
                </c:pt>
                <c:pt idx="8">
                  <c:v>0.76666666666666672</c:v>
                </c:pt>
                <c:pt idx="9">
                  <c:v>0.56666666666666665</c:v>
                </c:pt>
                <c:pt idx="10">
                  <c:v>0.28333333333333333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31-E24B-8F69-BEABB1485A2E}"/>
            </c:ext>
          </c:extLst>
        </c:ser>
        <c:ser>
          <c:idx val="7"/>
          <c:order val="2"/>
          <c:tx>
            <c:v>3Targets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Feuil1!$C$30:$C$40</c:f>
              <c:numCache>
                <c:formatCode>0%</c:formatCode>
                <c:ptCount val="11"/>
                <c:pt idx="0">
                  <c:v>0.72</c:v>
                </c:pt>
                <c:pt idx="1">
                  <c:v>0.77</c:v>
                </c:pt>
                <c:pt idx="2">
                  <c:v>0.8</c:v>
                </c:pt>
                <c:pt idx="3">
                  <c:v>0.83</c:v>
                </c:pt>
                <c:pt idx="4">
                  <c:v>0.83</c:v>
                </c:pt>
                <c:pt idx="5">
                  <c:v>0.82</c:v>
                </c:pt>
                <c:pt idx="6">
                  <c:v>0.82</c:v>
                </c:pt>
                <c:pt idx="7">
                  <c:v>0.72</c:v>
                </c:pt>
                <c:pt idx="8">
                  <c:v>0.62</c:v>
                </c:pt>
                <c:pt idx="9">
                  <c:v>0.47</c:v>
                </c:pt>
                <c:pt idx="1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31-E24B-8F69-BEABB1485A2E}"/>
            </c:ext>
          </c:extLst>
        </c:ser>
        <c:ser>
          <c:idx val="8"/>
          <c:order val="3"/>
          <c:tx>
            <c:v>4Targets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Feuil1!$C$44:$C$54</c:f>
              <c:numCache>
                <c:formatCode>0%</c:formatCode>
                <c:ptCount val="11"/>
                <c:pt idx="0">
                  <c:v>0.6333333333333333</c:v>
                </c:pt>
                <c:pt idx="1">
                  <c:v>0.6166666666666667</c:v>
                </c:pt>
                <c:pt idx="2">
                  <c:v>0.66666666666666663</c:v>
                </c:pt>
                <c:pt idx="3">
                  <c:v>0.6333333333333333</c:v>
                </c:pt>
                <c:pt idx="4">
                  <c:v>0.6333333333333333</c:v>
                </c:pt>
                <c:pt idx="5">
                  <c:v>0.65</c:v>
                </c:pt>
                <c:pt idx="6">
                  <c:v>0.6166666666666667</c:v>
                </c:pt>
                <c:pt idx="7">
                  <c:v>0.6</c:v>
                </c:pt>
                <c:pt idx="8">
                  <c:v>0.56666666666666665</c:v>
                </c:pt>
                <c:pt idx="9">
                  <c:v>0.36666666666666664</c:v>
                </c:pt>
                <c:pt idx="10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31-E24B-8F69-BEABB1485A2E}"/>
            </c:ext>
          </c:extLst>
        </c:ser>
        <c:ser>
          <c:idx val="9"/>
          <c:order val="4"/>
          <c:tx>
            <c:v>5Targets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Feuil1!$C$58:$C$68</c:f>
              <c:numCache>
                <c:formatCode>0%</c:formatCode>
                <c:ptCount val="11"/>
                <c:pt idx="0">
                  <c:v>0.63</c:v>
                </c:pt>
                <c:pt idx="1">
                  <c:v>0.63</c:v>
                </c:pt>
                <c:pt idx="2">
                  <c:v>0.65</c:v>
                </c:pt>
                <c:pt idx="3">
                  <c:v>0.67</c:v>
                </c:pt>
                <c:pt idx="4">
                  <c:v>0.63</c:v>
                </c:pt>
                <c:pt idx="5">
                  <c:v>0.67</c:v>
                </c:pt>
                <c:pt idx="6">
                  <c:v>0.65</c:v>
                </c:pt>
                <c:pt idx="7">
                  <c:v>0.6</c:v>
                </c:pt>
                <c:pt idx="8">
                  <c:v>0.52</c:v>
                </c:pt>
                <c:pt idx="9">
                  <c:v>0.43</c:v>
                </c:pt>
                <c:pt idx="10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31-E24B-8F69-BEABB1485A2E}"/>
            </c:ext>
          </c:extLst>
        </c:ser>
        <c:ser>
          <c:idx val="1"/>
          <c:order val="5"/>
          <c:tx>
            <c:v>Average</c:v>
          </c:tx>
          <c:x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Feuil1!$C$72:$C$82</c:f>
              <c:numCache>
                <c:formatCode>0%</c:formatCode>
                <c:ptCount val="11"/>
                <c:pt idx="0">
                  <c:v>0.76666666666666661</c:v>
                </c:pt>
                <c:pt idx="1">
                  <c:v>0.77333333333333332</c:v>
                </c:pt>
                <c:pt idx="2">
                  <c:v>0.79666666666666663</c:v>
                </c:pt>
                <c:pt idx="3">
                  <c:v>0.79666666666666663</c:v>
                </c:pt>
                <c:pt idx="4">
                  <c:v>0.78866666666666663</c:v>
                </c:pt>
                <c:pt idx="5">
                  <c:v>0.79800000000000004</c:v>
                </c:pt>
                <c:pt idx="6">
                  <c:v>0.77733333333333332</c:v>
                </c:pt>
                <c:pt idx="7">
                  <c:v>0.74066666666666658</c:v>
                </c:pt>
                <c:pt idx="8">
                  <c:v>0.69133333333333336</c:v>
                </c:pt>
                <c:pt idx="9">
                  <c:v>0.56333333333333324</c:v>
                </c:pt>
                <c:pt idx="10">
                  <c:v>0.35399999999999998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31-E24B-8F69-BEABB148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368879"/>
        <c:axId val="1785435775"/>
      </c:scatterChart>
      <c:valAx>
        <c:axId val="178536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435775"/>
        <c:crosses val="autoZero"/>
        <c:crossBetween val="midCat"/>
        <c:majorUnit val="5.000000000000001E-2"/>
      </c:valAx>
      <c:valAx>
        <c:axId val="178543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5368879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Detection</a:t>
            </a:r>
            <a:r>
              <a:rPr lang="fr-FR" baseline="0"/>
              <a:t> Time for Target Weight = 1 (in s)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Feuil1!$J$71</c:f>
              <c:strCache>
                <c:ptCount val="1"/>
                <c:pt idx="0">
                  <c:v>Average Intention Time Known (Success)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Feuil1!$B$72:$B$82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Feuil1!$J$72:$J$82</c:f>
              <c:numCache>
                <c:formatCode>General</c:formatCode>
                <c:ptCount val="11"/>
                <c:pt idx="0">
                  <c:v>5.9651243732467014</c:v>
                </c:pt>
                <c:pt idx="1">
                  <c:v>5.8651407654452585</c:v>
                </c:pt>
                <c:pt idx="2">
                  <c:v>6.0325514162662968</c:v>
                </c:pt>
                <c:pt idx="3">
                  <c:v>6.4684934929211551</c:v>
                </c:pt>
                <c:pt idx="4">
                  <c:v>5.7754882698715884</c:v>
                </c:pt>
                <c:pt idx="5">
                  <c:v>6.2195252822966394</c:v>
                </c:pt>
                <c:pt idx="6">
                  <c:v>5.0629886233090717</c:v>
                </c:pt>
                <c:pt idx="7">
                  <c:v>4.7778234271652789</c:v>
                </c:pt>
                <c:pt idx="8">
                  <c:v>4.292245370545456</c:v>
                </c:pt>
                <c:pt idx="9">
                  <c:v>3.7143367368101914</c:v>
                </c:pt>
                <c:pt idx="10">
                  <c:v>2.0857499999999485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F2-1F47-8E4C-4AD9D9CA6D60}"/>
            </c:ext>
          </c:extLst>
        </c:ser>
        <c:ser>
          <c:idx val="1"/>
          <c:order val="1"/>
          <c:tx>
            <c:strRef>
              <c:f>Feuil1!$M$71</c:f>
              <c:strCache>
                <c:ptCount val="1"/>
                <c:pt idx="0">
                  <c:v>Average Intention Time Known (Failure)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Feuil1!$B$72:$B$82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Feuil1!$M$72:$M$83</c:f>
              <c:numCache>
                <c:formatCode>General</c:formatCode>
                <c:ptCount val="12"/>
                <c:pt idx="0">
                  <c:v>3.3788767003467699</c:v>
                </c:pt>
                <c:pt idx="1">
                  <c:v>3.4545536633366334</c:v>
                </c:pt>
                <c:pt idx="2">
                  <c:v>3.5234659473684538</c:v>
                </c:pt>
                <c:pt idx="3">
                  <c:v>3.3837446616856353</c:v>
                </c:pt>
                <c:pt idx="4">
                  <c:v>3.4812151127819226</c:v>
                </c:pt>
                <c:pt idx="5">
                  <c:v>2.8357901961450329</c:v>
                </c:pt>
                <c:pt idx="6">
                  <c:v>2.2765801170223257</c:v>
                </c:pt>
                <c:pt idx="7">
                  <c:v>2.1007849215685965</c:v>
                </c:pt>
                <c:pt idx="8">
                  <c:v>1.5966937566116988</c:v>
                </c:pt>
                <c:pt idx="9">
                  <c:v>1.4798771989619035</c:v>
                </c:pt>
                <c:pt idx="10">
                  <c:v>0.9440333333333446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F2-1F47-8E4C-4AD9D9CA6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784847"/>
        <c:axId val="1932371647"/>
      </c:scatterChart>
      <c:valAx>
        <c:axId val="19277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2371647"/>
        <c:crosses val="autoZero"/>
        <c:crossBetween val="midCat"/>
        <c:majorUnit val="5.000000000000001E-2"/>
      </c:valAx>
      <c:valAx>
        <c:axId val="193237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77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Average</a:t>
            </a:r>
            <a:r>
              <a:rPr lang="fr-FR" baseline="0"/>
              <a:t> Success of Target Weight = 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Feuil1!$B$72:$B$82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0.5</c:v>
                </c:pt>
                <c:pt idx="10">
                  <c:v>0.75</c:v>
                </c:pt>
              </c:numCache>
            </c:numRef>
          </c:xVal>
          <c:yVal>
            <c:numRef>
              <c:f>Feuil1!$P$72:$P$82</c:f>
              <c:numCache>
                <c:formatCode>0.0%</c:formatCode>
                <c:ptCount val="11"/>
                <c:pt idx="0">
                  <c:v>0.97660000000000002</c:v>
                </c:pt>
                <c:pt idx="1">
                  <c:v>0.97326666666666672</c:v>
                </c:pt>
                <c:pt idx="2">
                  <c:v>0.96660000000000001</c:v>
                </c:pt>
                <c:pt idx="3">
                  <c:v>0.96326666666666649</c:v>
                </c:pt>
                <c:pt idx="4">
                  <c:v>0.95006666666666661</c:v>
                </c:pt>
                <c:pt idx="5">
                  <c:v>0.9300666666666666</c:v>
                </c:pt>
                <c:pt idx="6">
                  <c:v>0.9234</c:v>
                </c:pt>
                <c:pt idx="7">
                  <c:v>0.88339999999999996</c:v>
                </c:pt>
                <c:pt idx="8">
                  <c:v>0.84673333333333323</c:v>
                </c:pt>
                <c:pt idx="9">
                  <c:v>0.59673333333333323</c:v>
                </c:pt>
                <c:pt idx="10">
                  <c:v>4.6666666666666669E-2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F1-6446-8A31-F80AA609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858719"/>
        <c:axId val="1831001359"/>
      </c:scatterChart>
      <c:valAx>
        <c:axId val="193885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1001359"/>
        <c:crosses val="autoZero"/>
        <c:crossBetween val="midCat"/>
        <c:majorUnit val="5.000000000000001E-2"/>
      </c:valAx>
      <c:valAx>
        <c:axId val="18310013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8858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0</xdr:row>
      <xdr:rowOff>50800</xdr:rowOff>
    </xdr:from>
    <xdr:to>
      <xdr:col>40</xdr:col>
      <xdr:colOff>228600</xdr:colOff>
      <xdr:row>30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EA4FC57-1C68-0747-8829-6D77374AA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63500</xdr:colOff>
      <xdr:row>31</xdr:row>
      <xdr:rowOff>114300</xdr:rowOff>
    </xdr:from>
    <xdr:to>
      <xdr:col>41</xdr:col>
      <xdr:colOff>196850</xdr:colOff>
      <xdr:row>61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014B6C3-16D4-A943-A51C-119241803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806450</xdr:colOff>
      <xdr:row>61</xdr:row>
      <xdr:rowOff>171450</xdr:rowOff>
    </xdr:from>
    <xdr:to>
      <xdr:col>41</xdr:col>
      <xdr:colOff>88900</xdr:colOff>
      <xdr:row>84</xdr:row>
      <xdr:rowOff>114300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65704D9-A3BD-5843-8B60-F8BBAFE24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819150</xdr:colOff>
      <xdr:row>84</xdr:row>
      <xdr:rowOff>184150</xdr:rowOff>
    </xdr:from>
    <xdr:to>
      <xdr:col>38</xdr:col>
      <xdr:colOff>114300</xdr:colOff>
      <xdr:row>105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58F29D7-E860-D143-B3BF-F51CC3C7D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234950</xdr:colOff>
      <xdr:row>1</xdr:row>
      <xdr:rowOff>38100</xdr:rowOff>
    </xdr:from>
    <xdr:to>
      <xdr:col>36</xdr:col>
      <xdr:colOff>368300</xdr:colOff>
      <xdr:row>27</xdr:row>
      <xdr:rowOff>19050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767D6AB-7354-A74B-A6E6-8F150A4D5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28</xdr:row>
      <xdr:rowOff>0</xdr:rowOff>
    </xdr:from>
    <xdr:to>
      <xdr:col>36</xdr:col>
      <xdr:colOff>133350</xdr:colOff>
      <xdr:row>53</xdr:row>
      <xdr:rowOff>184150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C0A9009-DF0D-BB49-B37A-C6C784E18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6350</xdr:colOff>
      <xdr:row>54</xdr:row>
      <xdr:rowOff>44450</xdr:rowOff>
    </xdr:from>
    <xdr:to>
      <xdr:col>36</xdr:col>
      <xdr:colOff>114300</xdr:colOff>
      <xdr:row>74</xdr:row>
      <xdr:rowOff>190500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BC56978D-08AC-7940-88BD-B2FCCAD88D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819150</xdr:colOff>
      <xdr:row>74</xdr:row>
      <xdr:rowOff>184150</xdr:rowOff>
    </xdr:from>
    <xdr:to>
      <xdr:col>36</xdr:col>
      <xdr:colOff>114300</xdr:colOff>
      <xdr:row>95</xdr:row>
      <xdr:rowOff>76200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AFC44E01-FFEE-7549-973C-8FB235E54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One/SummaryOn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0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3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hree/SummaryThre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Four/SummaryFou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Five/SummaryFiv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Four/SummaryFour-Prob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One/SummaryOne-Prob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-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Two/SummaryTwo-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A1" t="str">
            <v>ContribDistance</v>
          </cell>
          <cell r="B1" t="str">
            <v>Average Success</v>
          </cell>
          <cell r="C1" t="str">
            <v>Average Distance Success</v>
          </cell>
          <cell r="D1" t="str">
            <v>Max Distance Success</v>
          </cell>
          <cell r="E1" t="str">
            <v>Min Distance Success</v>
          </cell>
          <cell r="F1" t="str">
            <v>Std Distance Success</v>
          </cell>
          <cell r="G1" t="str">
            <v>Time Known Success</v>
          </cell>
          <cell r="H1" t="str">
            <v>Average Distance Failure</v>
          </cell>
          <cell r="I1" t="str">
            <v>Max Distance Failure</v>
          </cell>
          <cell r="J1" t="str">
            <v>Min Distance Failure</v>
          </cell>
          <cell r="K1" t="str">
            <v>Std Distance Failure</v>
          </cell>
          <cell r="L1" t="str">
            <v>Time Known Failure</v>
          </cell>
          <cell r="M1" t="str">
            <v>Total Targets</v>
          </cell>
          <cell r="N1" t="str">
            <v>%Weight1</v>
          </cell>
        </row>
        <row r="2">
          <cell r="A2">
            <v>0</v>
          </cell>
          <cell r="B2">
            <v>0.98333333333333328</v>
          </cell>
          <cell r="C2">
            <v>9.2731198305084656E-3</v>
          </cell>
          <cell r="D2">
            <v>7.1761349999999904E-2</v>
          </cell>
          <cell r="E2">
            <v>5.0569999999999901E-4</v>
          </cell>
          <cell r="F2">
            <v>1.3078264508676779E-2</v>
          </cell>
          <cell r="G2">
            <v>5.4078084210526214</v>
          </cell>
          <cell r="H2">
            <v>0.21641759999999999</v>
          </cell>
          <cell r="I2">
            <v>0.21641759999999999</v>
          </cell>
          <cell r="J2">
            <v>0.21641759999999999</v>
          </cell>
          <cell r="K2" t="e">
            <v>#DIV/0!</v>
          </cell>
          <cell r="L2">
            <v>2.4221999999999699</v>
          </cell>
          <cell r="M2">
            <v>60</v>
          </cell>
          <cell r="N2">
            <v>0.96666666666666667</v>
          </cell>
        </row>
        <row r="3">
          <cell r="A3">
            <v>0.05</v>
          </cell>
          <cell r="B3">
            <v>0.98333333333333328</v>
          </cell>
          <cell r="C3">
            <v>9.2164405084745587E-3</v>
          </cell>
          <cell r="D3">
            <v>7.7672689999999905E-2</v>
          </cell>
          <cell r="E3">
            <v>6.0869999999999902E-4</v>
          </cell>
          <cell r="F3">
            <v>1.3883058546823217E-2</v>
          </cell>
          <cell r="G3">
            <v>5.3584298245613873</v>
          </cell>
          <cell r="H3">
            <v>0.20867954</v>
          </cell>
          <cell r="I3">
            <v>0.20867954</v>
          </cell>
          <cell r="J3">
            <v>0.20867954</v>
          </cell>
          <cell r="K3" t="e">
            <v>#DIV/0!</v>
          </cell>
          <cell r="L3">
            <v>2.2783999999999098</v>
          </cell>
          <cell r="M3">
            <v>60</v>
          </cell>
          <cell r="N3">
            <v>0.96666666666666667</v>
          </cell>
        </row>
        <row r="4">
          <cell r="A4">
            <v>0.1</v>
          </cell>
          <cell r="B4">
            <v>0.98333333333333328</v>
          </cell>
          <cell r="C4">
            <v>9.4753425423728631E-3</v>
          </cell>
          <cell r="D4">
            <v>7.9872239999999997E-2</v>
          </cell>
          <cell r="E4">
            <v>5.4960000000048297E-5</v>
          </cell>
          <cell r="F4">
            <v>1.4740026487136919E-2</v>
          </cell>
          <cell r="G4">
            <v>5.6016021052631606</v>
          </cell>
          <cell r="H4">
            <v>0.22601566000000001</v>
          </cell>
          <cell r="I4">
            <v>0.22601566000000001</v>
          </cell>
          <cell r="J4">
            <v>0.22601566000000001</v>
          </cell>
          <cell r="K4" t="e">
            <v>#DIV/0!</v>
          </cell>
          <cell r="L4">
            <v>2.2320000000001898</v>
          </cell>
          <cell r="M4">
            <v>60</v>
          </cell>
          <cell r="N4">
            <v>0.96666666666666667</v>
          </cell>
        </row>
        <row r="5">
          <cell r="A5">
            <v>0.15</v>
          </cell>
          <cell r="B5">
            <v>0.98333333333333328</v>
          </cell>
          <cell r="C5">
            <v>9.0027989830508102E-3</v>
          </cell>
          <cell r="D5">
            <v>7.43323499999997E-2</v>
          </cell>
          <cell r="E5">
            <v>1.5885999999975999E-4</v>
          </cell>
          <cell r="F5">
            <v>1.3458379882233805E-2</v>
          </cell>
          <cell r="G5">
            <v>5.2002105263157183</v>
          </cell>
          <cell r="H5">
            <v>0.27256833999999902</v>
          </cell>
          <cell r="I5">
            <v>0.27256833999999902</v>
          </cell>
          <cell r="J5">
            <v>0.27256833999999902</v>
          </cell>
          <cell r="K5" t="e">
            <v>#DIV/0!</v>
          </cell>
          <cell r="L5">
            <v>2.1759999999997</v>
          </cell>
          <cell r="M5">
            <v>60</v>
          </cell>
          <cell r="N5">
            <v>0.96666666666666667</v>
          </cell>
        </row>
        <row r="6">
          <cell r="A6">
            <v>0.2</v>
          </cell>
          <cell r="B6">
            <v>0.98333333333333328</v>
          </cell>
          <cell r="C6">
            <v>8.9885459322033862E-3</v>
          </cell>
          <cell r="D6">
            <v>6.4243159999999994E-2</v>
          </cell>
          <cell r="E6">
            <v>3.8340999999999999E-4</v>
          </cell>
          <cell r="F6">
            <v>1.1135732587640021E-2</v>
          </cell>
          <cell r="G6">
            <v>5.985776785714215</v>
          </cell>
          <cell r="H6">
            <v>0.19988359999999999</v>
          </cell>
          <cell r="I6">
            <v>0.19988359999999999</v>
          </cell>
          <cell r="J6">
            <v>0.19988359999999999</v>
          </cell>
          <cell r="K6" t="e">
            <v>#DIV/0!</v>
          </cell>
          <cell r="L6">
            <v>3.36999999999989</v>
          </cell>
          <cell r="M6">
            <v>60</v>
          </cell>
          <cell r="N6">
            <v>0.95</v>
          </cell>
        </row>
        <row r="7">
          <cell r="A7">
            <v>0.25</v>
          </cell>
          <cell r="B7">
            <v>0.98333333333333328</v>
          </cell>
          <cell r="C7">
            <v>8.6124976271186194E-3</v>
          </cell>
          <cell r="D7">
            <v>7.19389899999998E-2</v>
          </cell>
          <cell r="E7">
            <v>2.21059999999999E-4</v>
          </cell>
          <cell r="F7">
            <v>1.3138359990396932E-2</v>
          </cell>
          <cell r="G7">
            <v>4.8544363636363714</v>
          </cell>
          <cell r="H7">
            <v>0.37395872000000002</v>
          </cell>
          <cell r="I7">
            <v>0.37395872000000002</v>
          </cell>
          <cell r="J7">
            <v>0.37395872000000002</v>
          </cell>
          <cell r="K7" t="e">
            <v>#DIV/0!</v>
          </cell>
          <cell r="L7">
            <v>2.3609999999994198</v>
          </cell>
          <cell r="M7">
            <v>60</v>
          </cell>
          <cell r="N7">
            <v>0.93333333333333335</v>
          </cell>
        </row>
        <row r="8">
          <cell r="A8">
            <v>0.3</v>
          </cell>
          <cell r="B8">
            <v>0.98333333333333328</v>
          </cell>
          <cell r="C8">
            <v>8.6324532203389745E-3</v>
          </cell>
          <cell r="D8">
            <v>7.8393000000000004E-2</v>
          </cell>
          <cell r="E8">
            <v>6.0229999999883398E-5</v>
          </cell>
          <cell r="F8">
            <v>1.3912327519828486E-2</v>
          </cell>
          <cell r="G8">
            <v>4.5038973584905699</v>
          </cell>
          <cell r="H8">
            <v>0.3728224</v>
          </cell>
          <cell r="I8">
            <v>0.3728224</v>
          </cell>
          <cell r="J8">
            <v>0.3728224</v>
          </cell>
          <cell r="K8" t="e">
            <v>#DIV/0!</v>
          </cell>
          <cell r="L8">
            <v>2.1640000000002102</v>
          </cell>
          <cell r="M8">
            <v>60</v>
          </cell>
          <cell r="N8">
            <v>0.9</v>
          </cell>
        </row>
        <row r="9">
          <cell r="A9">
            <v>0.35</v>
          </cell>
          <cell r="B9">
            <v>0.98333333333333328</v>
          </cell>
          <cell r="C9">
            <v>8.5657545762711819E-3</v>
          </cell>
          <cell r="D9">
            <v>7.4972920000000096E-2</v>
          </cell>
          <cell r="E9">
            <v>3.6020000000025402E-5</v>
          </cell>
          <cell r="F9">
            <v>1.3423248431986921E-2</v>
          </cell>
          <cell r="G9">
            <v>4.1317580392156694</v>
          </cell>
          <cell r="H9">
            <v>0.38636945</v>
          </cell>
          <cell r="I9">
            <v>0.38636945</v>
          </cell>
          <cell r="J9">
            <v>0.38636945</v>
          </cell>
          <cell r="K9" t="e">
            <v>#DIV/0!</v>
          </cell>
          <cell r="L9">
            <v>2.0309999999999402</v>
          </cell>
          <cell r="M9">
            <v>60</v>
          </cell>
          <cell r="N9">
            <v>0.8666666666666667</v>
          </cell>
        </row>
        <row r="10">
          <cell r="A10">
            <v>0.4</v>
          </cell>
          <cell r="B10">
            <v>0.98333333333333328</v>
          </cell>
          <cell r="C10">
            <v>8.6585577966101623E-3</v>
          </cell>
          <cell r="D10">
            <v>7.1604029999999999E-2</v>
          </cell>
          <cell r="E10">
            <v>2.37919999999999E-4</v>
          </cell>
          <cell r="F10">
            <v>1.3012568070247499E-2</v>
          </cell>
          <cell r="G10">
            <v>3.5845599999999802</v>
          </cell>
          <cell r="H10">
            <v>0.51149087999999998</v>
          </cell>
          <cell r="I10">
            <v>0.51149087999999998</v>
          </cell>
          <cell r="J10">
            <v>0.51149087999999998</v>
          </cell>
          <cell r="K10" t="e">
            <v>#DIV/0!</v>
          </cell>
          <cell r="L10">
            <v>1.17299999999977</v>
          </cell>
          <cell r="M10">
            <v>60</v>
          </cell>
          <cell r="N10">
            <v>0.85</v>
          </cell>
        </row>
        <row r="11">
          <cell r="A11">
            <v>0.5</v>
          </cell>
          <cell r="B11">
            <v>0.98333333333333328</v>
          </cell>
          <cell r="C11">
            <v>4.0309328813559319E-3</v>
          </cell>
          <cell r="D11">
            <v>7.5509749999999903E-2</v>
          </cell>
          <cell r="E11">
            <v>0</v>
          </cell>
          <cell r="F11">
            <v>1.4212852464190106E-2</v>
          </cell>
          <cell r="G11">
            <v>2.4799929411764761</v>
          </cell>
          <cell r="H11">
            <v>0.122729359999999</v>
          </cell>
          <cell r="I11">
            <v>0.122729359999999</v>
          </cell>
          <cell r="J11">
            <v>0.122729359999999</v>
          </cell>
          <cell r="K11" t="e">
            <v>#DIV/0!</v>
          </cell>
          <cell r="L11">
            <v>1.0189999999999999</v>
          </cell>
          <cell r="M11">
            <v>60</v>
          </cell>
          <cell r="N11">
            <v>0.58333333333333337</v>
          </cell>
        </row>
        <row r="12">
          <cell r="A12">
            <v>0.75</v>
          </cell>
          <cell r="B12">
            <v>1</v>
          </cell>
          <cell r="C12">
            <v>4.2443653333333461E-3</v>
          </cell>
          <cell r="D12">
            <v>7.2143390000000293E-2</v>
          </cell>
          <cell r="E12">
            <v>0</v>
          </cell>
          <cell r="F12">
            <v>1.3702117140265266E-2</v>
          </cell>
          <cell r="G12">
            <v>0.54599999999993498</v>
          </cell>
          <cell r="H12" t="e">
            <v>#DIV/0!</v>
          </cell>
          <cell r="I12">
            <v>0</v>
          </cell>
          <cell r="J12">
            <v>0</v>
          </cell>
          <cell r="K12" t="e">
            <v>#DIV/0!</v>
          </cell>
          <cell r="L12" t="e">
            <v>#DIV/0!</v>
          </cell>
          <cell r="M12">
            <v>60</v>
          </cell>
          <cell r="N12">
            <v>1.6666666666666666E-2</v>
          </cell>
        </row>
        <row r="13">
          <cell r="A13">
            <v>1</v>
          </cell>
          <cell r="B13" t="e">
            <v>#DIV/0!</v>
          </cell>
          <cell r="C13" t="e">
            <v>#DIV/0!</v>
          </cell>
          <cell r="D13">
            <v>0</v>
          </cell>
          <cell r="E13">
            <v>0</v>
          </cell>
          <cell r="F13" t="e">
            <v>#DIV/0!</v>
          </cell>
          <cell r="G13" t="e">
            <v>#DIV/0!</v>
          </cell>
          <cell r="H13" t="e">
            <v>#DIV/0!</v>
          </cell>
          <cell r="I13">
            <v>0</v>
          </cell>
          <cell r="J13">
            <v>0</v>
          </cell>
          <cell r="K13" t="e">
            <v>#DIV/0!</v>
          </cell>
          <cell r="L13" t="e">
            <v>#DIV/0!</v>
          </cell>
          <cell r="M13">
            <v>0</v>
          </cell>
          <cell r="N13" t="e">
            <v>#VALUE!</v>
          </cell>
        </row>
        <row r="14">
          <cell r="A14">
            <v>0.17499999999999999</v>
          </cell>
          <cell r="B14">
            <v>0.98333333333333328</v>
          </cell>
          <cell r="C14">
            <v>8.9709177966101738E-3</v>
          </cell>
          <cell r="D14">
            <v>6.7035029999999995E-2</v>
          </cell>
          <cell r="E14">
            <v>3.1609000000004602E-4</v>
          </cell>
          <cell r="F14">
            <v>1.1628722146246625E-2</v>
          </cell>
          <cell r="G14">
            <v>6.2284212280701636</v>
          </cell>
          <cell r="H14">
            <v>0.20177044999999899</v>
          </cell>
          <cell r="I14">
            <v>0.20177044999999899</v>
          </cell>
          <cell r="J14">
            <v>0.20177044999999899</v>
          </cell>
          <cell r="K14" t="e">
            <v>#DIV/0!</v>
          </cell>
          <cell r="L14">
            <v>3.40949999999998</v>
          </cell>
          <cell r="M14">
            <v>60</v>
          </cell>
          <cell r="N14">
            <v>0.96666666666666667</v>
          </cell>
        </row>
        <row r="15">
          <cell r="A15">
            <v>0.22500000000000001</v>
          </cell>
          <cell r="B15">
            <v>0.98333333333333328</v>
          </cell>
          <cell r="C15">
            <v>9.1639262711864494E-3</v>
          </cell>
          <cell r="D15">
            <v>6.6814799999999994E-2</v>
          </cell>
          <cell r="E15">
            <v>1.1214000000003799E-4</v>
          </cell>
          <cell r="F15">
            <v>1.1429358123156246E-2</v>
          </cell>
          <cell r="G15">
            <v>8.4643428571428387</v>
          </cell>
          <cell r="H15">
            <v>0.17508898000000001</v>
          </cell>
          <cell r="I15">
            <v>0.17508898000000001</v>
          </cell>
          <cell r="J15">
            <v>0.17508898000000001</v>
          </cell>
          <cell r="K15" t="e">
            <v>#DIV/0!</v>
          </cell>
          <cell r="L15">
            <v>3.46899999999982</v>
          </cell>
          <cell r="M15">
            <v>60</v>
          </cell>
          <cell r="N15">
            <v>0.95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52</v>
          </cell>
          <cell r="U2">
            <v>1.3964737307692317E-2</v>
          </cell>
          <cell r="W2">
            <v>0.33554886999999944</v>
          </cell>
          <cell r="Y2">
            <v>5.2523788461538725</v>
          </cell>
          <cell r="AA2">
            <v>2.7754714285713482</v>
          </cell>
        </row>
        <row r="3">
          <cell r="S3">
            <v>8</v>
          </cell>
        </row>
        <row r="4">
          <cell r="U4">
            <v>6.79158599999998E-2</v>
          </cell>
          <cell r="W4">
            <v>0.73453587999999903</v>
          </cell>
        </row>
        <row r="6">
          <cell r="U6">
            <v>3.48970000000559E-4</v>
          </cell>
          <cell r="W6">
            <v>0.11597056</v>
          </cell>
        </row>
        <row r="8">
          <cell r="U8">
            <v>1.8118208563323735E-2</v>
          </cell>
          <cell r="W8">
            <v>0.24847590490464261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53</v>
          </cell>
          <cell r="U2">
            <v>1.4426264528301858E-2</v>
          </cell>
          <cell r="W2">
            <v>0.34389288714285698</v>
          </cell>
          <cell r="Y2">
            <v>5.6566463461538294</v>
          </cell>
          <cell r="AA2">
            <v>2.7243333333333304</v>
          </cell>
        </row>
        <row r="3">
          <cell r="S3">
            <v>7</v>
          </cell>
        </row>
        <row r="4">
          <cell r="U4">
            <v>6.9590819999999998E-2</v>
          </cell>
          <cell r="W4">
            <v>0.75906110999999998</v>
          </cell>
        </row>
        <row r="6">
          <cell r="U6">
            <v>2.89360000000016E-4</v>
          </cell>
          <cell r="W6">
            <v>0.11674904999999999</v>
          </cell>
        </row>
        <row r="8">
          <cell r="U8">
            <v>1.8184451024211335E-2</v>
          </cell>
          <cell r="W8">
            <v>0.2801983114988742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52</v>
          </cell>
          <cell r="U2">
            <v>1.4657094615384629E-2</v>
          </cell>
          <cell r="W2">
            <v>0.32384577374999962</v>
          </cell>
          <cell r="Y2">
            <v>5.6068431372549368</v>
          </cell>
          <cell r="AA2">
            <v>2.6281666666666266</v>
          </cell>
        </row>
        <row r="3">
          <cell r="S3">
            <v>8</v>
          </cell>
        </row>
        <row r="4">
          <cell r="U4">
            <v>9.4080629999999804E-2</v>
          </cell>
          <cell r="W4">
            <v>0.737177269999999</v>
          </cell>
        </row>
        <row r="6">
          <cell r="U6">
            <v>3.5099999999843502E-5</v>
          </cell>
          <cell r="W6">
            <v>0.11849008</v>
          </cell>
        </row>
        <row r="8">
          <cell r="U8">
            <v>1.9797764827868637E-2</v>
          </cell>
          <cell r="W8">
            <v>0.25173839252401037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51</v>
          </cell>
          <cell r="U2">
            <v>1.3558929600000023E-2</v>
          </cell>
          <cell r="W2">
            <v>0.39488622699999987</v>
          </cell>
          <cell r="Y2">
            <v>6.3362126530612501</v>
          </cell>
          <cell r="AA2">
            <v>3.5028571428570068</v>
          </cell>
        </row>
        <row r="3">
          <cell r="S3">
            <v>10</v>
          </cell>
        </row>
        <row r="4">
          <cell r="U4">
            <v>6.5651319999999902E-2</v>
          </cell>
          <cell r="W4">
            <v>0.83523968000000004</v>
          </cell>
        </row>
        <row r="6">
          <cell r="U6">
            <v>7.4249999999942404E-5</v>
          </cell>
          <cell r="W6">
            <v>0.11190632</v>
          </cell>
        </row>
        <row r="8">
          <cell r="U8">
            <v>1.3867492288932517E-2</v>
          </cell>
          <cell r="W8">
            <v>0.27979467789297996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52</v>
          </cell>
          <cell r="U2">
            <v>1.468383269230767E-2</v>
          </cell>
          <cell r="W2">
            <v>0.35955697749999982</v>
          </cell>
          <cell r="Y2">
            <v>5.4186799999999797</v>
          </cell>
          <cell r="AA2">
            <v>1.971166666666776</v>
          </cell>
        </row>
        <row r="3">
          <cell r="S3">
            <v>8</v>
          </cell>
        </row>
        <row r="4">
          <cell r="U4">
            <v>8.1180619999999995E-2</v>
          </cell>
          <cell r="W4">
            <v>0.73489347999999999</v>
          </cell>
        </row>
        <row r="6">
          <cell r="U6">
            <v>1.34490000000209E-4</v>
          </cell>
          <cell r="W6">
            <v>0.11869144</v>
          </cell>
        </row>
        <row r="8">
          <cell r="U8">
            <v>1.8684699328057192E-2</v>
          </cell>
          <cell r="W8">
            <v>0.25090794973926822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49</v>
          </cell>
          <cell r="U2">
            <v>1.439551469387754E-2</v>
          </cell>
          <cell r="W2">
            <v>0.36515619363636315</v>
          </cell>
          <cell r="Y2">
            <v>5.0550947916665905</v>
          </cell>
          <cell r="AA2">
            <v>1.5026000000000541</v>
          </cell>
        </row>
        <row r="3">
          <cell r="S3">
            <v>11</v>
          </cell>
        </row>
        <row r="4">
          <cell r="U4">
            <v>6.8744429999999898E-2</v>
          </cell>
          <cell r="W4">
            <v>0.86740980999999895</v>
          </cell>
        </row>
        <row r="6">
          <cell r="U6">
            <v>4.7380999999999899E-4</v>
          </cell>
          <cell r="W6">
            <v>0.10705152</v>
          </cell>
        </row>
        <row r="8">
          <cell r="U8">
            <v>1.7635447206024536E-2</v>
          </cell>
          <cell r="W8">
            <v>0.25221176882721846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48</v>
          </cell>
          <cell r="U2">
            <v>1.9843652916666666E-2</v>
          </cell>
          <cell r="W2">
            <v>0.31680758666666653</v>
          </cell>
          <cell r="Y2">
            <v>4.5416326086955667</v>
          </cell>
          <cell r="AA2">
            <v>1.9500000000000126</v>
          </cell>
        </row>
        <row r="3">
          <cell r="S3">
            <v>12</v>
          </cell>
        </row>
        <row r="4">
          <cell r="U4">
            <v>9.5319550000000003E-2</v>
          </cell>
          <cell r="W4">
            <v>0.67593360000000002</v>
          </cell>
        </row>
        <row r="6">
          <cell r="U6">
            <v>3.0572000000003702E-4</v>
          </cell>
          <cell r="W6">
            <v>0.104742479999999</v>
          </cell>
        </row>
        <row r="8">
          <cell r="U8">
            <v>2.3357560669510183E-2</v>
          </cell>
          <cell r="W8">
            <v>0.19243542382034734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46</v>
          </cell>
          <cell r="U2">
            <v>2.1775529782608695E-2</v>
          </cell>
          <cell r="W2">
            <v>0.31268518428571396</v>
          </cell>
          <cell r="Y2">
            <v>4.2077272727272552</v>
          </cell>
          <cell r="AA2">
            <v>1.7092999999999818</v>
          </cell>
        </row>
        <row r="3">
          <cell r="S3">
            <v>14</v>
          </cell>
        </row>
        <row r="4">
          <cell r="U4">
            <v>9.2606910000000001E-2</v>
          </cell>
          <cell r="W4">
            <v>0.63724051999999998</v>
          </cell>
        </row>
        <row r="6">
          <cell r="U6">
            <v>1.56009999999984E-4</v>
          </cell>
          <cell r="W6">
            <v>0.11069229999999899</v>
          </cell>
        </row>
        <row r="8">
          <cell r="U8">
            <v>2.4393432911682431E-2</v>
          </cell>
          <cell r="W8">
            <v>0.18474204643181358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34</v>
          </cell>
          <cell r="U2">
            <v>2.7828173823529378E-2</v>
          </cell>
          <cell r="W2">
            <v>0.35316854846153806</v>
          </cell>
          <cell r="Y2">
            <v>3.9082092307692169</v>
          </cell>
          <cell r="AA2">
            <v>1.1248300000000002</v>
          </cell>
        </row>
        <row r="3">
          <cell r="S3">
            <v>26</v>
          </cell>
        </row>
        <row r="4">
          <cell r="U4">
            <v>9.2079229999999901E-2</v>
          </cell>
          <cell r="W4">
            <v>0.81407076</v>
          </cell>
        </row>
        <row r="6">
          <cell r="U6">
            <v>0</v>
          </cell>
          <cell r="W6">
            <v>0.117541599999999</v>
          </cell>
        </row>
        <row r="8">
          <cell r="U8">
            <v>3.0348435622436661E-2</v>
          </cell>
          <cell r="W8">
            <v>0.19966604686999942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17</v>
          </cell>
          <cell r="U2">
            <v>4.0933915294117613E-2</v>
          </cell>
          <cell r="W2">
            <v>0.49141149348837165</v>
          </cell>
          <cell r="Y2">
            <v>2.573499999999965</v>
          </cell>
          <cell r="AA2">
            <v>1.022850000000004</v>
          </cell>
        </row>
        <row r="3">
          <cell r="S3">
            <v>43</v>
          </cell>
        </row>
        <row r="4">
          <cell r="U4">
            <v>9.2784809999999995E-2</v>
          </cell>
          <cell r="W4">
            <v>1.37071157999999</v>
          </cell>
        </row>
        <row r="6">
          <cell r="U6">
            <v>5.0931999999999002E-3</v>
          </cell>
          <cell r="W6">
            <v>0.11733992</v>
          </cell>
        </row>
        <row r="8">
          <cell r="U8">
            <v>3.0178273823241623E-2</v>
          </cell>
          <cell r="W8">
            <v>0.31023227764613642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A1" t="str">
            <v>ContribDistance</v>
          </cell>
          <cell r="B1" t="str">
            <v>Average Success</v>
          </cell>
          <cell r="C1" t="str">
            <v>Average Distance Success</v>
          </cell>
          <cell r="D1" t="str">
            <v>Max Distance Success</v>
          </cell>
          <cell r="E1" t="str">
            <v>Min Distance Success</v>
          </cell>
          <cell r="F1" t="str">
            <v>Std Distance Success</v>
          </cell>
          <cell r="G1" t="str">
            <v>Time Known Success</v>
          </cell>
          <cell r="H1" t="str">
            <v>Average Distance Failure</v>
          </cell>
          <cell r="I1" t="str">
            <v>Max Distance Failure</v>
          </cell>
          <cell r="J1" t="str">
            <v>Min Distance Failure</v>
          </cell>
          <cell r="K1" t="str">
            <v>Std Distance Failure</v>
          </cell>
          <cell r="L1" t="str">
            <v>Time Known Failure</v>
          </cell>
          <cell r="M1" t="str">
            <v>Total Targets</v>
          </cell>
          <cell r="N1" t="str">
            <v>%Weight1</v>
          </cell>
        </row>
        <row r="2">
          <cell r="A2">
            <v>0</v>
          </cell>
          <cell r="B2">
            <v>0.8666666666666667</v>
          </cell>
          <cell r="C2">
            <v>1.6229844423076904E-2</v>
          </cell>
          <cell r="D2">
            <v>7.4070539999999893E-2</v>
          </cell>
          <cell r="E2">
            <v>4.7416000000000098E-4</v>
          </cell>
          <cell r="F2">
            <v>2.0237189675233112E-2</v>
          </cell>
          <cell r="G2">
            <v>5.5025045769230729</v>
          </cell>
          <cell r="H2">
            <v>0.30986761499999965</v>
          </cell>
          <cell r="I2">
            <v>0.73434935999999995</v>
          </cell>
          <cell r="J2">
            <v>0.11423460000000001</v>
          </cell>
          <cell r="K2">
            <v>0.2099554019243382</v>
          </cell>
          <cell r="L2">
            <v>2.7794857142857103</v>
          </cell>
          <cell r="M2">
            <v>60</v>
          </cell>
          <cell r="N2">
            <v>0.98333333333333328</v>
          </cell>
        </row>
        <row r="3">
          <cell r="A3">
            <v>0.05</v>
          </cell>
          <cell r="B3">
            <v>0.8666666666666667</v>
          </cell>
          <cell r="C3">
            <v>1.3964737307692317E-2</v>
          </cell>
          <cell r="D3">
            <v>6.79158599999998E-2</v>
          </cell>
          <cell r="E3">
            <v>3.48970000000559E-4</v>
          </cell>
          <cell r="F3">
            <v>1.8118208563323735E-2</v>
          </cell>
          <cell r="G3">
            <v>5.2523788461538725</v>
          </cell>
          <cell r="H3">
            <v>0.33554886999999944</v>
          </cell>
          <cell r="I3">
            <v>0.73453587999999903</v>
          </cell>
          <cell r="J3">
            <v>0.11597056</v>
          </cell>
          <cell r="K3">
            <v>0.24847590490464261</v>
          </cell>
          <cell r="L3">
            <v>2.7754714285713482</v>
          </cell>
          <cell r="M3">
            <v>60</v>
          </cell>
          <cell r="N3">
            <v>0.98333333333333328</v>
          </cell>
        </row>
        <row r="4">
          <cell r="A4">
            <v>0.1</v>
          </cell>
          <cell r="B4">
            <v>0.8833333333333333</v>
          </cell>
          <cell r="C4">
            <v>1.4426264528301858E-2</v>
          </cell>
          <cell r="D4">
            <v>6.9590819999999998E-2</v>
          </cell>
          <cell r="E4">
            <v>2.89360000000016E-4</v>
          </cell>
          <cell r="F4">
            <v>1.8184451024211335E-2</v>
          </cell>
          <cell r="G4">
            <v>5.6566463461538294</v>
          </cell>
          <cell r="H4">
            <v>0.34389288714285698</v>
          </cell>
          <cell r="I4">
            <v>0.75906110999999998</v>
          </cell>
          <cell r="J4">
            <v>0.11674904999999999</v>
          </cell>
          <cell r="K4">
            <v>0.2801983114988742</v>
          </cell>
          <cell r="L4">
            <v>2.7243333333333304</v>
          </cell>
          <cell r="M4">
            <v>60</v>
          </cell>
          <cell r="N4">
            <v>0.96666666666666667</v>
          </cell>
        </row>
        <row r="5">
          <cell r="A5">
            <v>0.15</v>
          </cell>
          <cell r="B5">
            <v>0.8666666666666667</v>
          </cell>
          <cell r="C5">
            <v>1.4657094615384629E-2</v>
          </cell>
          <cell r="D5">
            <v>9.4080629999999804E-2</v>
          </cell>
          <cell r="E5">
            <v>3.5099999999843502E-5</v>
          </cell>
          <cell r="F5">
            <v>1.9797764827868637E-2</v>
          </cell>
          <cell r="G5">
            <v>5.6068431372549368</v>
          </cell>
          <cell r="H5">
            <v>0.32384577374999962</v>
          </cell>
          <cell r="I5">
            <v>0.737177269999999</v>
          </cell>
          <cell r="J5">
            <v>0.11849008</v>
          </cell>
          <cell r="K5">
            <v>0.25173839252401037</v>
          </cell>
          <cell r="L5">
            <v>2.6281666666666266</v>
          </cell>
          <cell r="M5">
            <v>60</v>
          </cell>
          <cell r="N5">
            <v>0.95</v>
          </cell>
        </row>
        <row r="6">
          <cell r="A6">
            <v>0.2</v>
          </cell>
          <cell r="B6">
            <v>0.83606557377049184</v>
          </cell>
          <cell r="C6">
            <v>1.3558929600000023E-2</v>
          </cell>
          <cell r="D6">
            <v>6.5651319999999902E-2</v>
          </cell>
          <cell r="E6">
            <v>7.4249999999942404E-5</v>
          </cell>
          <cell r="F6">
            <v>1.3867492288932517E-2</v>
          </cell>
          <cell r="G6">
            <v>6.3362126530612501</v>
          </cell>
          <cell r="H6">
            <v>0.39488622699999987</v>
          </cell>
          <cell r="I6">
            <v>0.83523968000000004</v>
          </cell>
          <cell r="J6">
            <v>0.11190632</v>
          </cell>
          <cell r="K6">
            <v>0.27979467789297996</v>
          </cell>
          <cell r="L6">
            <v>3.5028571428570068</v>
          </cell>
          <cell r="M6">
            <v>61</v>
          </cell>
          <cell r="N6">
            <v>0.93442622950819676</v>
          </cell>
        </row>
        <row r="7">
          <cell r="A7">
            <v>0.25</v>
          </cell>
          <cell r="B7">
            <v>0.8666666666666667</v>
          </cell>
          <cell r="C7">
            <v>1.468383269230767E-2</v>
          </cell>
          <cell r="D7">
            <v>8.1180619999999995E-2</v>
          </cell>
          <cell r="E7">
            <v>1.34490000000209E-4</v>
          </cell>
          <cell r="F7">
            <v>1.8684699328057192E-2</v>
          </cell>
          <cell r="G7">
            <v>5.4186799999999797</v>
          </cell>
          <cell r="H7">
            <v>0.35955697749999982</v>
          </cell>
          <cell r="I7">
            <v>0.73489347999999999</v>
          </cell>
          <cell r="J7">
            <v>0.11869144</v>
          </cell>
          <cell r="K7">
            <v>0.25090794973926822</v>
          </cell>
          <cell r="L7">
            <v>1.971166666666776</v>
          </cell>
          <cell r="M7">
            <v>60</v>
          </cell>
          <cell r="N7">
            <v>0.93333333333333335</v>
          </cell>
        </row>
        <row r="8">
          <cell r="A8">
            <v>0.3</v>
          </cell>
          <cell r="B8">
            <v>0.81666666666666665</v>
          </cell>
          <cell r="C8">
            <v>1.439551469387754E-2</v>
          </cell>
          <cell r="D8">
            <v>6.8744429999999898E-2</v>
          </cell>
          <cell r="E8">
            <v>4.7380999999999899E-4</v>
          </cell>
          <cell r="F8">
            <v>1.7635447206024536E-2</v>
          </cell>
          <cell r="G8">
            <v>5.0550947916665905</v>
          </cell>
          <cell r="H8">
            <v>0.36515619363636315</v>
          </cell>
          <cell r="I8">
            <v>0.86740980999999895</v>
          </cell>
          <cell r="J8">
            <v>0.10705152</v>
          </cell>
          <cell r="K8">
            <v>0.25221176882721846</v>
          </cell>
          <cell r="L8">
            <v>1.5026000000000541</v>
          </cell>
          <cell r="M8">
            <v>60</v>
          </cell>
          <cell r="N8">
            <v>0.93333333333333335</v>
          </cell>
        </row>
        <row r="9">
          <cell r="A9">
            <v>0.35</v>
          </cell>
          <cell r="B9">
            <v>0.8</v>
          </cell>
          <cell r="C9">
            <v>1.9843652916666666E-2</v>
          </cell>
          <cell r="D9">
            <v>9.5319550000000003E-2</v>
          </cell>
          <cell r="E9">
            <v>3.0572000000003702E-4</v>
          </cell>
          <cell r="F9">
            <v>2.3357560669510183E-2</v>
          </cell>
          <cell r="G9">
            <v>4.5416326086955667</v>
          </cell>
          <cell r="H9">
            <v>0.31680758666666653</v>
          </cell>
          <cell r="I9">
            <v>0.67593360000000002</v>
          </cell>
          <cell r="J9">
            <v>0.104742479999999</v>
          </cell>
          <cell r="K9">
            <v>0.19243542382034734</v>
          </cell>
          <cell r="L9">
            <v>1.9500000000000126</v>
          </cell>
          <cell r="M9">
            <v>60</v>
          </cell>
          <cell r="N9">
            <v>0.9</v>
          </cell>
        </row>
        <row r="10">
          <cell r="A10">
            <v>0.4</v>
          </cell>
          <cell r="B10">
            <v>0.76666666666666672</v>
          </cell>
          <cell r="C10">
            <v>2.1775529782608695E-2</v>
          </cell>
          <cell r="D10">
            <v>9.2606910000000001E-2</v>
          </cell>
          <cell r="E10">
            <v>1.56009999999984E-4</v>
          </cell>
          <cell r="F10">
            <v>2.4393432911682431E-2</v>
          </cell>
          <cell r="G10">
            <v>4.2077272727272552</v>
          </cell>
          <cell r="H10">
            <v>0.31268518428571396</v>
          </cell>
          <cell r="I10">
            <v>0.63724051999999998</v>
          </cell>
          <cell r="J10">
            <v>0.11069229999999899</v>
          </cell>
          <cell r="K10">
            <v>0.18474204643181358</v>
          </cell>
          <cell r="L10">
            <v>1.7092999999999818</v>
          </cell>
          <cell r="M10">
            <v>60</v>
          </cell>
          <cell r="N10">
            <v>0.9</v>
          </cell>
        </row>
        <row r="11">
          <cell r="A11">
            <v>0.5</v>
          </cell>
          <cell r="B11">
            <v>0.56666666666666665</v>
          </cell>
          <cell r="C11">
            <v>2.7828173823529378E-2</v>
          </cell>
          <cell r="D11">
            <v>9.2079229999999901E-2</v>
          </cell>
          <cell r="E11">
            <v>0</v>
          </cell>
          <cell r="F11">
            <v>3.0348435622436661E-2</v>
          </cell>
          <cell r="G11">
            <v>3.9082092307692169</v>
          </cell>
          <cell r="H11">
            <v>0.35316854846153806</v>
          </cell>
          <cell r="I11">
            <v>0.81407076</v>
          </cell>
          <cell r="J11">
            <v>0.117541599999999</v>
          </cell>
          <cell r="K11">
            <v>0.19966604686999942</v>
          </cell>
          <cell r="L11">
            <v>1.1248300000000002</v>
          </cell>
          <cell r="M11">
            <v>60</v>
          </cell>
          <cell r="N11">
            <v>0.6</v>
          </cell>
        </row>
        <row r="12">
          <cell r="A12">
            <v>0.75</v>
          </cell>
          <cell r="B12">
            <v>0.28333333333333333</v>
          </cell>
          <cell r="C12">
            <v>4.0933915294117613E-2</v>
          </cell>
          <cell r="D12">
            <v>9.2784809999999995E-2</v>
          </cell>
          <cell r="E12">
            <v>5.0931999999999002E-3</v>
          </cell>
          <cell r="F12">
            <v>3.0178273823241623E-2</v>
          </cell>
          <cell r="G12">
            <v>2.573499999999965</v>
          </cell>
          <cell r="H12">
            <v>0.49141149348837165</v>
          </cell>
          <cell r="I12">
            <v>1.37071157999999</v>
          </cell>
          <cell r="J12">
            <v>0.11733992</v>
          </cell>
          <cell r="K12">
            <v>0.31023227764613642</v>
          </cell>
          <cell r="L12">
            <v>1.022850000000004</v>
          </cell>
          <cell r="M12">
            <v>60</v>
          </cell>
          <cell r="N12">
            <v>6.6666666666666666E-2</v>
          </cell>
        </row>
        <row r="13">
          <cell r="A13">
            <v>1</v>
          </cell>
          <cell r="B13" t="e">
            <v>#DIV/0!</v>
          </cell>
          <cell r="C13" t="e">
            <v>#DIV/0!</v>
          </cell>
          <cell r="D13">
            <v>0</v>
          </cell>
          <cell r="E13">
            <v>0</v>
          </cell>
          <cell r="F13" t="e">
            <v>#DIV/0!</v>
          </cell>
          <cell r="G13" t="e">
            <v>#DIV/0!</v>
          </cell>
          <cell r="H13" t="e">
            <v>#DIV/0!</v>
          </cell>
          <cell r="I13">
            <v>0</v>
          </cell>
          <cell r="J13">
            <v>0</v>
          </cell>
          <cell r="K13" t="e">
            <v>#DIV/0!</v>
          </cell>
          <cell r="L13" t="e">
            <v>#DIV/0!</v>
          </cell>
          <cell r="M13">
            <v>0</v>
          </cell>
          <cell r="N13" t="e">
            <v>#VALUE!</v>
          </cell>
        </row>
        <row r="14">
          <cell r="A14">
            <v>0.17499999999999999</v>
          </cell>
          <cell r="B14">
            <v>0.8833333333333333</v>
          </cell>
          <cell r="C14">
            <v>1.4442757924528279E-2</v>
          </cell>
          <cell r="D14">
            <v>9.5754339999999993E-2</v>
          </cell>
          <cell r="E14">
            <v>1.4802999999985399E-4</v>
          </cell>
          <cell r="F14">
            <v>1.8049387898718783E-2</v>
          </cell>
          <cell r="G14">
            <v>7.8997997499999988</v>
          </cell>
          <cell r="H14">
            <v>0.36744944714285671</v>
          </cell>
          <cell r="I14">
            <v>0.74299374999999901</v>
          </cell>
          <cell r="J14">
            <v>0.11842447</v>
          </cell>
          <cell r="K14">
            <v>0.27212944101087422</v>
          </cell>
          <cell r="L14">
            <v>2.5276400000000141</v>
          </cell>
          <cell r="M14">
            <v>60</v>
          </cell>
          <cell r="N14">
            <v>0.95</v>
          </cell>
        </row>
        <row r="15">
          <cell r="A15">
            <v>0.22500000000000001</v>
          </cell>
          <cell r="B15">
            <v>0.8833333333333333</v>
          </cell>
          <cell r="C15">
            <v>1.3859047924528287E-2</v>
          </cell>
          <cell r="D15">
            <v>5.7093390000000098E-2</v>
          </cell>
          <cell r="E15">
            <v>2.7105000000004998E-4</v>
          </cell>
          <cell r="F15">
            <v>1.4535980655443492E-2</v>
          </cell>
          <cell r="G15">
            <v>6.338751923076912</v>
          </cell>
          <cell r="H15">
            <v>0.37763766857142816</v>
          </cell>
          <cell r="I15">
            <v>0.75878625999999905</v>
          </cell>
          <cell r="J15">
            <v>0.11389775000000001</v>
          </cell>
          <cell r="K15">
            <v>0.28262407151925406</v>
          </cell>
          <cell r="L15">
            <v>2.5059800000000418</v>
          </cell>
          <cell r="M15">
            <v>60</v>
          </cell>
          <cell r="N15">
            <v>0.95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0</v>
          </cell>
          <cell r="U2" t="e">
            <v>#DIV/0!</v>
          </cell>
          <cell r="W2" t="e">
            <v>#DIV/0!</v>
          </cell>
          <cell r="Y2" t="e">
            <v>#DIV/0!</v>
          </cell>
          <cell r="AA2" t="e">
            <v>#DIV/0!</v>
          </cell>
        </row>
        <row r="3">
          <cell r="S3">
            <v>0</v>
          </cell>
        </row>
        <row r="4">
          <cell r="U4">
            <v>0</v>
          </cell>
          <cell r="W4">
            <v>0</v>
          </cell>
        </row>
        <row r="6">
          <cell r="U6">
            <v>0</v>
          </cell>
          <cell r="W6">
            <v>0</v>
          </cell>
        </row>
        <row r="8">
          <cell r="U8" t="e">
            <v>#DIV/0!</v>
          </cell>
          <cell r="W8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A1" t="str">
            <v>ContribDistance</v>
          </cell>
          <cell r="B1" t="str">
            <v>Average Success</v>
          </cell>
          <cell r="C1" t="str">
            <v>Average Distance Success</v>
          </cell>
          <cell r="D1" t="str">
            <v>Max Distance Success</v>
          </cell>
          <cell r="E1" t="str">
            <v>Min Distance Success</v>
          </cell>
          <cell r="G1" t="str">
            <v>Time Known Success</v>
          </cell>
          <cell r="H1" t="str">
            <v>Average Distance Failure</v>
          </cell>
          <cell r="I1" t="str">
            <v>Max Distance Failure</v>
          </cell>
          <cell r="J1" t="str">
            <v>Min Distance Failure</v>
          </cell>
          <cell r="K1" t="str">
            <v>Std Distance Failure</v>
          </cell>
          <cell r="L1" t="str">
            <v>Time Known Failure</v>
          </cell>
          <cell r="M1" t="str">
            <v>Total Targets</v>
          </cell>
          <cell r="N1" t="str">
            <v>%Weight1</v>
          </cell>
        </row>
        <row r="2">
          <cell r="A2">
            <v>0</v>
          </cell>
          <cell r="B2">
            <v>0.71666666666666667</v>
          </cell>
          <cell r="C2">
            <v>2.1604057209302328E-2</v>
          </cell>
          <cell r="D2">
            <v>9.4593239999999898E-2</v>
          </cell>
          <cell r="E2">
            <v>1.0748999999998701E-4</v>
          </cell>
          <cell r="F2">
            <v>2.4279347366132704E-2</v>
          </cell>
          <cell r="G2">
            <v>6.8859429268292525</v>
          </cell>
          <cell r="H2">
            <v>0.32666545352941145</v>
          </cell>
          <cell r="I2">
            <v>0.90489719999999996</v>
          </cell>
          <cell r="J2">
            <v>0.10866368999999999</v>
          </cell>
          <cell r="K2">
            <v>0.24589923452737872</v>
          </cell>
          <cell r="L2">
            <v>4.0570458823529307</v>
          </cell>
          <cell r="M2">
            <v>60</v>
          </cell>
          <cell r="N2">
            <v>0.96666666666666667</v>
          </cell>
        </row>
        <row r="3">
          <cell r="A3">
            <v>0.05</v>
          </cell>
          <cell r="B3">
            <v>0.76666666666666672</v>
          </cell>
          <cell r="C3">
            <v>2.2751143913043472E-2</v>
          </cell>
          <cell r="D3">
            <v>8.7825749999999994E-2</v>
          </cell>
          <cell r="E3">
            <v>2.5423999999984998E-4</v>
          </cell>
          <cell r="F3">
            <v>2.483662705355209E-2</v>
          </cell>
          <cell r="G3">
            <v>6.2376772727272733</v>
          </cell>
          <cell r="H3">
            <v>0.35820699428571412</v>
          </cell>
          <cell r="I3">
            <v>0.90440474999999998</v>
          </cell>
          <cell r="J3">
            <v>0.10762788</v>
          </cell>
          <cell r="K3">
            <v>0.25715081677838142</v>
          </cell>
          <cell r="L3">
            <v>4.5900846153846642</v>
          </cell>
          <cell r="M3">
            <v>60</v>
          </cell>
          <cell r="N3">
            <v>0.95</v>
          </cell>
        </row>
        <row r="4">
          <cell r="A4">
            <v>0.1</v>
          </cell>
          <cell r="B4">
            <v>0.8</v>
          </cell>
          <cell r="C4">
            <v>2.3755551458333333E-2</v>
          </cell>
          <cell r="D4">
            <v>8.3384150000000101E-2</v>
          </cell>
          <cell r="E4">
            <v>8.0432000000007998E-4</v>
          </cell>
          <cell r="F4">
            <v>2.4964296068511527E-2</v>
          </cell>
          <cell r="G4">
            <v>6.4990822222221833</v>
          </cell>
          <cell r="H4">
            <v>0.3767738116666664</v>
          </cell>
          <cell r="I4">
            <v>0.88639630999999997</v>
          </cell>
          <cell r="J4">
            <v>0.10718743999999999</v>
          </cell>
          <cell r="K4">
            <v>0.26479737949410348</v>
          </cell>
          <cell r="L4">
            <v>4.6002166666666602</v>
          </cell>
          <cell r="M4">
            <v>60</v>
          </cell>
          <cell r="N4">
            <v>0.95</v>
          </cell>
        </row>
        <row r="5">
          <cell r="A5">
            <v>0.15</v>
          </cell>
          <cell r="B5">
            <v>0.83333333333333337</v>
          </cell>
          <cell r="C5">
            <v>2.4145322399999967E-2</v>
          </cell>
          <cell r="D5">
            <v>9.4952069999999902E-2</v>
          </cell>
          <cell r="E5">
            <v>3.82639999999989E-4</v>
          </cell>
          <cell r="F5">
            <v>2.5293662777804097E-2</v>
          </cell>
          <cell r="G5">
            <v>6.0831489361702191</v>
          </cell>
          <cell r="H5">
            <v>0.4083687929999994</v>
          </cell>
          <cell r="I5">
            <v>0.88841793999999896</v>
          </cell>
          <cell r="J5">
            <v>0.10763917000000001</v>
          </cell>
          <cell r="K5">
            <v>0.2631143984206058</v>
          </cell>
          <cell r="L5">
            <v>4.5408999999998434</v>
          </cell>
          <cell r="M5">
            <v>60</v>
          </cell>
          <cell r="N5">
            <v>0.95</v>
          </cell>
        </row>
        <row r="6">
          <cell r="A6">
            <v>0.2</v>
          </cell>
          <cell r="B6">
            <v>0.81666666666666665</v>
          </cell>
          <cell r="C6">
            <v>2.3729236938775478E-2</v>
          </cell>
          <cell r="D6">
            <v>8.8004639999999801E-2</v>
          </cell>
          <cell r="E6">
            <v>2.02469999999999E-4</v>
          </cell>
          <cell r="F6">
            <v>2.2210356547285232E-2</v>
          </cell>
          <cell r="G6">
            <v>6.9404347826087003</v>
          </cell>
          <cell r="H6">
            <v>0.30496500818181765</v>
          </cell>
          <cell r="I6">
            <v>0.88409514999999905</v>
          </cell>
          <cell r="J6">
            <v>0.10780461</v>
          </cell>
          <cell r="K6">
            <v>0.22096690612354297</v>
          </cell>
          <cell r="L6">
            <v>5.0950272727272585</v>
          </cell>
          <cell r="M6">
            <v>60</v>
          </cell>
          <cell r="N6">
            <v>0.95</v>
          </cell>
        </row>
        <row r="7">
          <cell r="A7">
            <v>0.25</v>
          </cell>
          <cell r="B7">
            <v>0.81666666666666665</v>
          </cell>
          <cell r="C7">
            <v>2.1229984081632625E-2</v>
          </cell>
          <cell r="D7">
            <v>8.6917439999999901E-2</v>
          </cell>
          <cell r="E7">
            <v>3.90079999999987E-4</v>
          </cell>
          <cell r="F7">
            <v>2.1086337944109385E-2</v>
          </cell>
          <cell r="G7">
            <v>9.6793863636363042</v>
          </cell>
          <cell r="H7">
            <v>0.40782384090909046</v>
          </cell>
          <cell r="I7">
            <v>0.89270015999999996</v>
          </cell>
          <cell r="J7">
            <v>0.10837929</v>
          </cell>
          <cell r="K7">
            <v>0.25784734882064725</v>
          </cell>
          <cell r="L7">
            <v>4.1700000000001136</v>
          </cell>
          <cell r="M7">
            <v>60</v>
          </cell>
          <cell r="N7">
            <v>0.9</v>
          </cell>
        </row>
        <row r="8">
          <cell r="A8">
            <v>0.3</v>
          </cell>
          <cell r="B8">
            <v>0.81666666666666665</v>
          </cell>
          <cell r="C8">
            <v>2.5245185918367326E-2</v>
          </cell>
          <cell r="D8">
            <v>9.47183999999998E-2</v>
          </cell>
          <cell r="E8">
            <v>2.4806999999993303E-4</v>
          </cell>
          <cell r="F8">
            <v>2.5465210940372109E-2</v>
          </cell>
          <cell r="G8">
            <v>5.4424434090908882</v>
          </cell>
          <cell r="H8">
            <v>0.42584106909090896</v>
          </cell>
          <cell r="I8">
            <v>0.896786799999999</v>
          </cell>
          <cell r="J8">
            <v>0.10767957</v>
          </cell>
          <cell r="K8">
            <v>0.2719599411531764</v>
          </cell>
          <cell r="L8">
            <v>2.6015000000001658</v>
          </cell>
          <cell r="M8">
            <v>60</v>
          </cell>
          <cell r="N8">
            <v>0.9</v>
          </cell>
        </row>
        <row r="9">
          <cell r="A9">
            <v>0.35</v>
          </cell>
          <cell r="B9">
            <v>0.71666666666666667</v>
          </cell>
          <cell r="C9">
            <v>2.4338689069767442E-2</v>
          </cell>
          <cell r="D9">
            <v>8.4620799999999899E-2</v>
          </cell>
          <cell r="E9">
            <v>1.02476999999989E-3</v>
          </cell>
          <cell r="F9">
            <v>2.2342942695671136E-2</v>
          </cell>
          <cell r="G9">
            <v>5.1176864864865168</v>
          </cell>
          <cell r="H9">
            <v>0.3560883935294113</v>
          </cell>
          <cell r="I9">
            <v>0.94616604000000004</v>
          </cell>
          <cell r="J9">
            <v>0.10635453</v>
          </cell>
          <cell r="K9">
            <v>0.24823552137585531</v>
          </cell>
          <cell r="L9">
            <v>2.2322666666666624</v>
          </cell>
          <cell r="M9">
            <v>60</v>
          </cell>
          <cell r="N9">
            <v>0.8666666666666667</v>
          </cell>
        </row>
        <row r="10">
          <cell r="A10">
            <v>0.4</v>
          </cell>
          <cell r="B10">
            <v>0.6166666666666667</v>
          </cell>
          <cell r="C10">
            <v>2.0844605405405413E-2</v>
          </cell>
          <cell r="D10">
            <v>8.2053680000000004E-2</v>
          </cell>
          <cell r="E10">
            <v>3.57730000000056E-4</v>
          </cell>
          <cell r="F10">
            <v>2.2909776215624813E-2</v>
          </cell>
          <cell r="G10">
            <v>4.2018125000000417</v>
          </cell>
          <cell r="H10">
            <v>0.32454913999999951</v>
          </cell>
          <cell r="I10">
            <v>0.93283134999999995</v>
          </cell>
          <cell r="J10">
            <v>0.10307143000000001</v>
          </cell>
          <cell r="K10">
            <v>0.24870580072069617</v>
          </cell>
          <cell r="L10">
            <v>1.7096875000000553</v>
          </cell>
          <cell r="M10">
            <v>60</v>
          </cell>
          <cell r="N10">
            <v>0.8</v>
          </cell>
        </row>
        <row r="11">
          <cell r="A11">
            <v>0.5</v>
          </cell>
          <cell r="B11">
            <v>0.46666666666666667</v>
          </cell>
          <cell r="C11">
            <v>3.1293230714285705E-2</v>
          </cell>
          <cell r="D11">
            <v>9.5020629999999995E-2</v>
          </cell>
          <cell r="E11">
            <v>0</v>
          </cell>
          <cell r="F11">
            <v>3.1031753895526711E-2</v>
          </cell>
          <cell r="G11">
            <v>3.3545724999999962</v>
          </cell>
          <cell r="H11">
            <v>0.39455248031249918</v>
          </cell>
          <cell r="I11">
            <v>1.2823850399999901</v>
          </cell>
          <cell r="J11">
            <v>0.10361972999999899</v>
          </cell>
          <cell r="K11">
            <v>0.33749910411191686</v>
          </cell>
          <cell r="L11">
            <v>1.9451328571428526</v>
          </cell>
          <cell r="M11">
            <v>60</v>
          </cell>
          <cell r="N11">
            <v>0.56666666666666665</v>
          </cell>
        </row>
        <row r="12">
          <cell r="A12">
            <v>0.75</v>
          </cell>
          <cell r="B12">
            <v>0.15</v>
          </cell>
          <cell r="C12">
            <v>4.4968891111111103E-2</v>
          </cell>
          <cell r="D12">
            <v>9.5530109999999904E-2</v>
          </cell>
          <cell r="E12">
            <v>5.1373400000000397E-3</v>
          </cell>
          <cell r="F12">
            <v>3.4164632317396762E-2</v>
          </cell>
          <cell r="G12" t="e">
            <v>#DIV/0!</v>
          </cell>
          <cell r="H12">
            <v>0.49781510490195996</v>
          </cell>
          <cell r="I12">
            <v>1.50122215999999</v>
          </cell>
          <cell r="J12">
            <v>0.11496185</v>
          </cell>
          <cell r="K12">
            <v>0.36061742064909852</v>
          </cell>
          <cell r="L12">
            <v>1.1452500000000296</v>
          </cell>
          <cell r="M12">
            <v>60</v>
          </cell>
          <cell r="N12">
            <v>6.6666666666666666E-2</v>
          </cell>
        </row>
        <row r="13">
          <cell r="A13">
            <v>1</v>
          </cell>
          <cell r="B13" t="e">
            <v>#DIV/0!</v>
          </cell>
          <cell r="C13" t="e">
            <v>#DIV/0!</v>
          </cell>
          <cell r="D13">
            <v>0</v>
          </cell>
          <cell r="E13">
            <v>0</v>
          </cell>
          <cell r="F13" t="e">
            <v>#DIV/0!</v>
          </cell>
          <cell r="G13" t="e">
            <v>#DIV/0!</v>
          </cell>
          <cell r="H13" t="e">
            <v>#DIV/0!</v>
          </cell>
          <cell r="I13">
            <v>0</v>
          </cell>
          <cell r="J13">
            <v>0</v>
          </cell>
          <cell r="K13" t="e">
            <v>#DIV/0!</v>
          </cell>
          <cell r="L13" t="e">
            <v>#DIV/0!</v>
          </cell>
          <cell r="M13">
            <v>0</v>
          </cell>
          <cell r="N13" t="e">
            <v>#VALUE!</v>
          </cell>
        </row>
        <row r="14">
          <cell r="A14">
            <v>0.17499999999999999</v>
          </cell>
          <cell r="B14">
            <v>0.81666666666666665</v>
          </cell>
          <cell r="C14">
            <v>2.3454798367346909E-2</v>
          </cell>
          <cell r="D14">
            <v>8.4862599999999899E-2</v>
          </cell>
          <cell r="E14">
            <v>3.09599999999999E-5</v>
          </cell>
          <cell r="F14">
            <v>2.2057729443549477E-2</v>
          </cell>
          <cell r="G14">
            <v>6.9776186956521693</v>
          </cell>
          <cell r="H14">
            <v>0.32587840727272704</v>
          </cell>
          <cell r="I14">
            <v>0.88825354999999995</v>
          </cell>
          <cell r="J14">
            <v>0.10755906</v>
          </cell>
          <cell r="K14">
            <v>0.23561643250234132</v>
          </cell>
          <cell r="L14">
            <v>5.280845454545454</v>
          </cell>
          <cell r="M14">
            <v>60</v>
          </cell>
          <cell r="N14">
            <v>0.95</v>
          </cell>
        </row>
        <row r="15">
          <cell r="A15">
            <v>0.22500000000000001</v>
          </cell>
          <cell r="B15">
            <v>0.83333333333333337</v>
          </cell>
          <cell r="C15">
            <v>2.5025541799999974E-2</v>
          </cell>
          <cell r="D15">
            <v>9.70992400000001E-2</v>
          </cell>
          <cell r="E15">
            <v>3.5904000000008801E-4</v>
          </cell>
          <cell r="F15">
            <v>2.3469579113521974E-2</v>
          </cell>
          <cell r="G15">
            <v>7.6888478260869357</v>
          </cell>
          <cell r="H15">
            <v>0.28968858799999969</v>
          </cell>
          <cell r="I15">
            <v>0.87784814999999905</v>
          </cell>
          <cell r="J15">
            <v>0.10771993000000001</v>
          </cell>
          <cell r="K15">
            <v>0.23196198326297296</v>
          </cell>
          <cell r="L15">
            <v>5.1643599999999266</v>
          </cell>
          <cell r="M15">
            <v>60</v>
          </cell>
          <cell r="N15">
            <v>0.93333333333333335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A1" t="str">
            <v>ContribDistance</v>
          </cell>
          <cell r="B1" t="str">
            <v>Average Success</v>
          </cell>
          <cell r="C1" t="str">
            <v>Average Distance Success</v>
          </cell>
          <cell r="D1" t="str">
            <v>Max Distance Success</v>
          </cell>
          <cell r="E1" t="str">
            <v>Min Distance Success</v>
          </cell>
          <cell r="G1" t="str">
            <v>Time Known Success</v>
          </cell>
          <cell r="H1" t="str">
            <v>Average Distance Failure</v>
          </cell>
          <cell r="I1" t="str">
            <v>Max Distance Failure</v>
          </cell>
          <cell r="J1" t="str">
            <v>Min Distance Failure</v>
          </cell>
          <cell r="K1" t="str">
            <v>Std Distance Failure</v>
          </cell>
          <cell r="L1" t="str">
            <v>Time Known Failure</v>
          </cell>
          <cell r="M1" t="str">
            <v>Total Targets</v>
          </cell>
          <cell r="N1" t="str">
            <v>%Weight1</v>
          </cell>
        </row>
        <row r="2">
          <cell r="A2">
            <v>0</v>
          </cell>
          <cell r="B2">
            <v>0.6333333333333333</v>
          </cell>
          <cell r="C2">
            <v>1.2897391785714318E-2</v>
          </cell>
          <cell r="D2">
            <v>6.5020499999999995E-2</v>
          </cell>
          <cell r="E2">
            <v>4.1642999999999899E-4</v>
          </cell>
          <cell r="F2">
            <v>1.598014401950373E-2</v>
          </cell>
          <cell r="G2">
            <v>6.3869185714285637</v>
          </cell>
          <cell r="H2">
            <v>0.42674632545454466</v>
          </cell>
          <cell r="I2">
            <v>2.00967943999999</v>
          </cell>
          <cell r="J2">
            <v>0.10585785</v>
          </cell>
          <cell r="K2">
            <v>0.43666410821667773</v>
          </cell>
          <cell r="L2">
            <v>3.5627852380952385</v>
          </cell>
          <cell r="M2">
            <v>60</v>
          </cell>
          <cell r="N2">
            <v>0.98333333333333328</v>
          </cell>
        </row>
        <row r="3">
          <cell r="A3">
            <v>0.05</v>
          </cell>
          <cell r="B3">
            <v>0.6166666666666667</v>
          </cell>
          <cell r="C3">
            <v>1.3777177567567548E-2</v>
          </cell>
          <cell r="D3">
            <v>6.7259509999999995E-2</v>
          </cell>
          <cell r="E3">
            <v>2.6986999999999899E-4</v>
          </cell>
          <cell r="F3">
            <v>1.7982988218258306E-2</v>
          </cell>
          <cell r="G3">
            <v>6.3588837837837557</v>
          </cell>
          <cell r="H3">
            <v>0.41540140956521676</v>
          </cell>
          <cell r="I3">
            <v>2.0449271299999898</v>
          </cell>
          <cell r="J3">
            <v>0.105940039999999</v>
          </cell>
          <cell r="K3">
            <v>0.44437108697589661</v>
          </cell>
          <cell r="L3">
            <v>3.5698272727272449</v>
          </cell>
          <cell r="M3">
            <v>60</v>
          </cell>
          <cell r="N3">
            <v>0.98333333333333328</v>
          </cell>
        </row>
        <row r="4">
          <cell r="A4">
            <v>0.1</v>
          </cell>
          <cell r="B4">
            <v>0.66666666666666663</v>
          </cell>
          <cell r="C4">
            <v>1.8564877499999972E-2</v>
          </cell>
          <cell r="D4">
            <v>9.5954479999999398E-2</v>
          </cell>
          <cell r="E4">
            <v>2.0962999999999901E-4</v>
          </cell>
          <cell r="F4">
            <v>2.5641071044600942E-2</v>
          </cell>
          <cell r="G4">
            <v>6.2870923076923129</v>
          </cell>
          <cell r="H4">
            <v>0.43030904199999859</v>
          </cell>
          <cell r="I4">
            <v>2.11595840999999</v>
          </cell>
          <cell r="J4">
            <v>0.117668209999999</v>
          </cell>
          <cell r="K4">
            <v>0.47990906266580041</v>
          </cell>
          <cell r="L4">
            <v>4.0017947368420899</v>
          </cell>
          <cell r="M4">
            <v>60</v>
          </cell>
          <cell r="N4">
            <v>0.96666666666666667</v>
          </cell>
        </row>
        <row r="5">
          <cell r="A5">
            <v>0.15</v>
          </cell>
          <cell r="B5">
            <v>0.6333333333333333</v>
          </cell>
          <cell r="C5">
            <v>2.091095394736844E-2</v>
          </cell>
          <cell r="D5">
            <v>8.4053869999999697E-2</v>
          </cell>
          <cell r="E5">
            <v>9.8209999999987406E-5</v>
          </cell>
          <cell r="F5">
            <v>2.5920538310240361E-2</v>
          </cell>
          <cell r="G5">
            <v>9.4658648648649031</v>
          </cell>
          <cell r="H5">
            <v>0.42721897363636285</v>
          </cell>
          <cell r="I5">
            <v>2.1059698099999902</v>
          </cell>
          <cell r="J5">
            <v>0.10141425</v>
          </cell>
          <cell r="K5">
            <v>0.45914197045139227</v>
          </cell>
          <cell r="L5">
            <v>3.6477619047620058</v>
          </cell>
          <cell r="M5">
            <v>60</v>
          </cell>
          <cell r="N5">
            <v>0.96666666666666667</v>
          </cell>
        </row>
        <row r="6">
          <cell r="A6">
            <v>0.17499999999999999</v>
          </cell>
          <cell r="B6">
            <v>0.68333333333333335</v>
          </cell>
          <cell r="C6">
            <v>2.4403084878048736E-2</v>
          </cell>
          <cell r="D6">
            <v>9.6961919999999993E-2</v>
          </cell>
          <cell r="E6">
            <v>1.1364E-4</v>
          </cell>
          <cell r="F6">
            <v>2.8274095700270507E-2</v>
          </cell>
          <cell r="G6">
            <v>7.2690392307692235</v>
          </cell>
          <cell r="H6">
            <v>0.34456331842105153</v>
          </cell>
          <cell r="I6">
            <v>2.2210130099999899</v>
          </cell>
          <cell r="J6">
            <v>0.11518104999999999</v>
          </cell>
          <cell r="K6">
            <v>0.47878119208389336</v>
          </cell>
          <cell r="L6">
            <v>4.2117058823529314</v>
          </cell>
          <cell r="M6">
            <v>60</v>
          </cell>
          <cell r="N6">
            <v>0.93333333333333335</v>
          </cell>
        </row>
        <row r="7">
          <cell r="A7">
            <v>0.2</v>
          </cell>
          <cell r="B7">
            <v>0.68852459016393441</v>
          </cell>
          <cell r="C7">
            <v>2.5655298536585328E-2</v>
          </cell>
          <cell r="D7">
            <v>9.9770410000000004E-2</v>
          </cell>
          <cell r="E7">
            <v>2.4390000000007399E-4</v>
          </cell>
          <cell r="F7">
            <v>2.9902847817369183E-2</v>
          </cell>
          <cell r="G7">
            <v>6.8703263157894341</v>
          </cell>
          <cell r="H7">
            <v>0.40887327578947269</v>
          </cell>
          <cell r="I7">
            <v>2.2197968099999899</v>
          </cell>
          <cell r="J7">
            <v>0.12091225999999899</v>
          </cell>
          <cell r="K7">
            <v>0.48175296110852867</v>
          </cell>
          <cell r="L7">
            <v>3.7045833333334546</v>
          </cell>
          <cell r="M7">
            <v>61</v>
          </cell>
          <cell r="N7">
            <v>0.93442622950819676</v>
          </cell>
        </row>
        <row r="8">
          <cell r="A8">
            <v>0.22500000000000001</v>
          </cell>
          <cell r="B8">
            <v>0.65</v>
          </cell>
          <cell r="C8">
            <v>2.163882999999998E-2</v>
          </cell>
          <cell r="D8">
            <v>8.8005369999999999E-2</v>
          </cell>
          <cell r="E8">
            <v>5.7240000000069403E-5</v>
          </cell>
          <cell r="F8">
            <v>2.5134363116589037E-2</v>
          </cell>
          <cell r="G8">
            <v>6.518707894736858</v>
          </cell>
          <cell r="H8">
            <v>0.37374535523809493</v>
          </cell>
          <cell r="I8">
            <v>2.2212511799999999</v>
          </cell>
          <cell r="J8">
            <v>0.102870849999999</v>
          </cell>
          <cell r="K8">
            <v>0.45676368087067692</v>
          </cell>
          <cell r="L8">
            <v>3.4646888888889116</v>
          </cell>
          <cell r="M8">
            <v>60</v>
          </cell>
          <cell r="N8">
            <v>0.93333333333333335</v>
          </cell>
        </row>
        <row r="9">
          <cell r="A9">
            <v>0.25</v>
          </cell>
          <cell r="B9">
            <v>0.65</v>
          </cell>
          <cell r="C9">
            <v>2.0801031794871749E-2</v>
          </cell>
          <cell r="D9">
            <v>9.55868E-2</v>
          </cell>
          <cell r="E9">
            <v>1.62949999999999E-4</v>
          </cell>
          <cell r="F9">
            <v>2.6394296923954976E-2</v>
          </cell>
          <cell r="G9">
            <v>5.4379736842105411</v>
          </cell>
          <cell r="H9">
            <v>0.42748301333333188</v>
          </cell>
          <cell r="I9">
            <v>1.9777658499999899</v>
          </cell>
          <cell r="J9">
            <v>0.117679319999999</v>
          </cell>
          <cell r="K9">
            <v>0.44201014498966473</v>
          </cell>
          <cell r="L9">
            <v>2.9521176470588548</v>
          </cell>
          <cell r="M9">
            <v>60</v>
          </cell>
          <cell r="N9">
            <v>0.91666666666666663</v>
          </cell>
        </row>
        <row r="10">
          <cell r="A10">
            <v>0.3</v>
          </cell>
          <cell r="B10">
            <v>0.6166666666666667</v>
          </cell>
          <cell r="C10">
            <v>1.848541945945948E-2</v>
          </cell>
          <cell r="D10">
            <v>8.4394739999999996E-2</v>
          </cell>
          <cell r="E10">
            <v>1.2554999999999901E-4</v>
          </cell>
          <cell r="F10">
            <v>2.3554034988923007E-2</v>
          </cell>
          <cell r="G10">
            <v>4.9183272972973109</v>
          </cell>
          <cell r="H10">
            <v>0.4107205582608684</v>
          </cell>
          <cell r="I10">
            <v>1.7579735699999901</v>
          </cell>
          <cell r="J10">
            <v>0.1023372</v>
          </cell>
          <cell r="K10">
            <v>0.40870269291895317</v>
          </cell>
          <cell r="L10">
            <v>2.9142111111111975</v>
          </cell>
          <cell r="M10">
            <v>60</v>
          </cell>
          <cell r="N10">
            <v>0.91666666666666663</v>
          </cell>
        </row>
        <row r="11">
          <cell r="A11">
            <v>0.35</v>
          </cell>
          <cell r="B11">
            <v>0.6</v>
          </cell>
          <cell r="C11">
            <v>2.3451587777777741E-2</v>
          </cell>
          <cell r="D11">
            <v>9.9773489999999895E-2</v>
          </cell>
          <cell r="E11">
            <v>5.83499999999999E-5</v>
          </cell>
          <cell r="F11">
            <v>2.7251056880833398E-2</v>
          </cell>
          <cell r="G11">
            <v>4.6325285714286411</v>
          </cell>
          <cell r="H11">
            <v>0.33735801791666548</v>
          </cell>
          <cell r="I11">
            <v>1.79463900999999</v>
          </cell>
          <cell r="J11">
            <v>0.10412631</v>
          </cell>
          <cell r="K11">
            <v>0.4055608935808942</v>
          </cell>
          <cell r="L11">
            <v>2.4920529411763677</v>
          </cell>
          <cell r="M11">
            <v>60</v>
          </cell>
          <cell r="N11">
            <v>0.8666666666666667</v>
          </cell>
        </row>
        <row r="12">
          <cell r="A12">
            <v>0.4</v>
          </cell>
          <cell r="B12">
            <v>0.56666666666666665</v>
          </cell>
          <cell r="C12">
            <v>3.1685302058823507E-2</v>
          </cell>
          <cell r="D12">
            <v>9.5690239999999996E-2</v>
          </cell>
          <cell r="E12">
            <v>2.77699999999998E-5</v>
          </cell>
          <cell r="F12">
            <v>3.0877341567125724E-2</v>
          </cell>
          <cell r="G12">
            <v>4.1575937500000002</v>
          </cell>
          <cell r="H12">
            <v>0.38920316153846063</v>
          </cell>
          <cell r="I12">
            <v>1.75749167999999</v>
          </cell>
          <cell r="J12">
            <v>0.11430206</v>
          </cell>
          <cell r="K12">
            <v>0.38270283810509576</v>
          </cell>
          <cell r="L12">
            <v>1.7041176470586872</v>
          </cell>
          <cell r="M12">
            <v>60</v>
          </cell>
          <cell r="N12">
            <v>0.81666666666666665</v>
          </cell>
        </row>
        <row r="13">
          <cell r="A13">
            <v>0.5</v>
          </cell>
          <cell r="B13">
            <v>0.36666666666666664</v>
          </cell>
          <cell r="C13">
            <v>2.5169706363636316E-2</v>
          </cell>
          <cell r="D13">
            <v>9.29907499999999E-2</v>
          </cell>
          <cell r="E13">
            <v>8.8479999999987999E-5</v>
          </cell>
          <cell r="F13">
            <v>2.6977151353814965E-2</v>
          </cell>
          <cell r="G13">
            <v>4.1326368421052679</v>
          </cell>
          <cell r="H13">
            <v>0.42448133210526268</v>
          </cell>
          <cell r="I13">
            <v>1.7873404499999901</v>
          </cell>
          <cell r="J13">
            <v>0.10495105</v>
          </cell>
          <cell r="K13">
            <v>0.36406305224175628</v>
          </cell>
          <cell r="L13">
            <v>1.4225266666666649</v>
          </cell>
          <cell r="M13">
            <v>60</v>
          </cell>
          <cell r="N13">
            <v>0.56666666666666665</v>
          </cell>
        </row>
        <row r="14">
          <cell r="A14">
            <v>0.75</v>
          </cell>
          <cell r="B14">
            <v>0.16666666666666666</v>
          </cell>
          <cell r="C14">
            <v>5.3906760999999956E-2</v>
          </cell>
          <cell r="D14">
            <v>9.6392169999999902E-2</v>
          </cell>
          <cell r="E14">
            <v>4.2419200000000101E-3</v>
          </cell>
          <cell r="F14">
            <v>3.2467634966129373E-2</v>
          </cell>
          <cell r="G14">
            <v>1.1194999999998951</v>
          </cell>
          <cell r="H14">
            <v>0.55982194459999934</v>
          </cell>
          <cell r="I14">
            <v>2.2920629699999999</v>
          </cell>
          <cell r="J14">
            <v>0.112616509999999</v>
          </cell>
          <cell r="K14">
            <v>0.41542919829827712</v>
          </cell>
          <cell r="L14" t="e">
            <v>#DIV/0!</v>
          </cell>
          <cell r="M14">
            <v>60</v>
          </cell>
          <cell r="N14">
            <v>3.3333333333333333E-2</v>
          </cell>
        </row>
        <row r="15">
          <cell r="A15">
            <v>1</v>
          </cell>
          <cell r="B15" t="e">
            <v>#DIV/0!</v>
          </cell>
          <cell r="C15" t="e">
            <v>#DIV/0!</v>
          </cell>
          <cell r="D15">
            <v>0</v>
          </cell>
          <cell r="E15">
            <v>0</v>
          </cell>
          <cell r="F15" t="e">
            <v>#DIV/0!</v>
          </cell>
          <cell r="G15" t="e">
            <v>#DIV/0!</v>
          </cell>
          <cell r="H15" t="e">
            <v>#DIV/0!</v>
          </cell>
          <cell r="I15">
            <v>0</v>
          </cell>
          <cell r="J15">
            <v>0</v>
          </cell>
          <cell r="K15" t="e">
            <v>#DIV/0!</v>
          </cell>
          <cell r="L15" t="e">
            <v>#DIV/0!</v>
          </cell>
          <cell r="M15">
            <v>0</v>
          </cell>
          <cell r="N15" t="e">
            <v>#VALUE!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A1" t="str">
            <v>ContribDistance</v>
          </cell>
          <cell r="B1" t="str">
            <v>Average Success</v>
          </cell>
          <cell r="C1" t="str">
            <v>Average Distance Success</v>
          </cell>
          <cell r="D1" t="str">
            <v>Max Distance Success</v>
          </cell>
          <cell r="E1" t="str">
            <v>Min Distance Success</v>
          </cell>
          <cell r="G1" t="str">
            <v>Time Known Success</v>
          </cell>
          <cell r="H1" t="str">
            <v>Average Distance Failure</v>
          </cell>
          <cell r="I1" t="str">
            <v>Max Distance Failure</v>
          </cell>
          <cell r="J1" t="str">
            <v>Min Distance Failure</v>
          </cell>
          <cell r="K1" t="str">
            <v>Std Distance Failure</v>
          </cell>
          <cell r="L1" t="str">
            <v>Time Known Failure</v>
          </cell>
          <cell r="M1" t="str">
            <v>Total Targets</v>
          </cell>
          <cell r="N1" t="str">
            <v>%Weight1</v>
          </cell>
        </row>
        <row r="2">
          <cell r="A2">
            <v>0</v>
          </cell>
          <cell r="B2">
            <v>0.6333333333333333</v>
          </cell>
          <cell r="C2">
            <v>1.5812637894736803E-2</v>
          </cell>
          <cell r="D2">
            <v>9.3804149999999697E-2</v>
          </cell>
          <cell r="E2">
            <v>1.5420999999998699E-4</v>
          </cell>
          <cell r="F2">
            <v>2.1612004881680403E-2</v>
          </cell>
          <cell r="G2">
            <v>5.6424473684210392</v>
          </cell>
          <cell r="H2">
            <v>0.54300505045454517</v>
          </cell>
          <cell r="I2">
            <v>1.6776208100000001</v>
          </cell>
          <cell r="J2">
            <v>0.105513599999999</v>
          </cell>
          <cell r="K2">
            <v>0.44187098903647065</v>
          </cell>
          <cell r="L2">
            <v>4.072866666666668</v>
          </cell>
          <cell r="M2">
            <v>60</v>
          </cell>
          <cell r="N2">
            <v>0.98333333333333328</v>
          </cell>
        </row>
        <row r="3">
          <cell r="A3">
            <v>0.05</v>
          </cell>
          <cell r="B3">
            <v>0.6333333333333333</v>
          </cell>
          <cell r="C3">
            <v>1.4069203846153807E-2</v>
          </cell>
          <cell r="D3">
            <v>7.7220149999999793E-2</v>
          </cell>
          <cell r="E3">
            <v>1.66379999999993E-4</v>
          </cell>
          <cell r="F3">
            <v>1.7851504440145903E-2</v>
          </cell>
          <cell r="G3">
            <v>6.1183341025640994</v>
          </cell>
          <cell r="H3">
            <v>0.49432455380952323</v>
          </cell>
          <cell r="I3">
            <v>1.6732505899999901</v>
          </cell>
          <cell r="J3">
            <v>0.11208527</v>
          </cell>
          <cell r="K3">
            <v>0.41332464467520325</v>
          </cell>
          <cell r="L3">
            <v>4.0589850000000158</v>
          </cell>
          <cell r="M3">
            <v>60</v>
          </cell>
          <cell r="N3">
            <v>0.98333333333333328</v>
          </cell>
        </row>
        <row r="4">
          <cell r="A4">
            <v>0.1</v>
          </cell>
          <cell r="B4">
            <v>0.65</v>
          </cell>
          <cell r="C4">
            <v>1.4069203846153807E-2</v>
          </cell>
          <cell r="D4">
            <v>7.7220149999999793E-2</v>
          </cell>
          <cell r="E4">
            <v>1.66379999999993E-4</v>
          </cell>
          <cell r="F4">
            <v>1.7851504440145903E-2</v>
          </cell>
          <cell r="G4">
            <v>6.1183341025640994</v>
          </cell>
          <cell r="H4">
            <v>0.49432455380952323</v>
          </cell>
          <cell r="I4">
            <v>1.6732505899999901</v>
          </cell>
          <cell r="J4">
            <v>0.11208527</v>
          </cell>
          <cell r="K4">
            <v>0.41332464467520325</v>
          </cell>
          <cell r="L4">
            <v>4.0589850000000158</v>
          </cell>
          <cell r="M4">
            <v>60</v>
          </cell>
          <cell r="N4">
            <v>0.98333333333333328</v>
          </cell>
        </row>
        <row r="5">
          <cell r="A5">
            <v>0.15</v>
          </cell>
          <cell r="B5">
            <v>0.66666666666666663</v>
          </cell>
          <cell r="C5">
            <v>2.0351788749999981E-2</v>
          </cell>
          <cell r="D5">
            <v>9.9250650000000301E-2</v>
          </cell>
          <cell r="E5">
            <v>1.40650000000075E-4</v>
          </cell>
          <cell r="F5">
            <v>2.5973726155319128E-2</v>
          </cell>
          <cell r="G5">
            <v>5.9864000000000512</v>
          </cell>
          <cell r="H5">
            <v>0.47579264099999924</v>
          </cell>
          <cell r="I5">
            <v>1.6743059599999901</v>
          </cell>
          <cell r="J5">
            <v>0.12184623</v>
          </cell>
          <cell r="K5">
            <v>0.38752673517632424</v>
          </cell>
          <cell r="L5">
            <v>3.9258947368420887</v>
          </cell>
          <cell r="M5">
            <v>60</v>
          </cell>
          <cell r="N5">
            <v>0.98333333333333328</v>
          </cell>
        </row>
        <row r="6">
          <cell r="A6">
            <v>0.2</v>
          </cell>
          <cell r="B6">
            <v>0.66666666666666663</v>
          </cell>
          <cell r="C6">
            <v>1.7503555499999962E-2</v>
          </cell>
          <cell r="D6">
            <v>9.9901920000000005E-2</v>
          </cell>
          <cell r="E6">
            <v>2.0002999999996199E-4</v>
          </cell>
          <cell r="F6">
            <v>2.1632377302200856E-2</v>
          </cell>
          <cell r="G6">
            <v>6.631954500000063</v>
          </cell>
          <cell r="H6">
            <v>0.46239152199999917</v>
          </cell>
          <cell r="I6">
            <v>1.57250120999999</v>
          </cell>
          <cell r="J6">
            <v>0.124861709999999</v>
          </cell>
          <cell r="K6">
            <v>0.38424489554624386</v>
          </cell>
          <cell r="L6">
            <v>4.2925055555555849</v>
          </cell>
          <cell r="M6">
            <v>60</v>
          </cell>
          <cell r="N6">
            <v>0.96666666666666667</v>
          </cell>
        </row>
        <row r="7">
          <cell r="A7">
            <v>0.25</v>
          </cell>
          <cell r="B7">
            <v>0.66666666666666663</v>
          </cell>
          <cell r="C7">
            <v>1.644372149999996E-2</v>
          </cell>
          <cell r="D7">
            <v>7.7955570000000002E-2</v>
          </cell>
          <cell r="E7">
            <v>2.9200000000173502E-6</v>
          </cell>
          <cell r="F7">
            <v>2.0014273149803509E-2</v>
          </cell>
          <cell r="G7">
            <v>5.707149999999916</v>
          </cell>
          <cell r="H7">
            <v>0.43675936049999969</v>
          </cell>
          <cell r="I7">
            <v>1.4320707500000001</v>
          </cell>
          <cell r="J7">
            <v>0.13080544</v>
          </cell>
          <cell r="K7">
            <v>0.34577877920937877</v>
          </cell>
          <cell r="L7">
            <v>2.7246666666666046</v>
          </cell>
          <cell r="M7">
            <v>60</v>
          </cell>
          <cell r="N7">
            <v>0.96666666666666667</v>
          </cell>
        </row>
        <row r="8">
          <cell r="A8">
            <v>0.3</v>
          </cell>
          <cell r="B8">
            <v>0.65</v>
          </cell>
          <cell r="C8">
            <v>1.8468815384615374E-2</v>
          </cell>
          <cell r="D8">
            <v>7.8778829999999994E-2</v>
          </cell>
          <cell r="E8">
            <v>4.0487000000001501E-4</v>
          </cell>
          <cell r="F8">
            <v>2.2363058857542865E-2</v>
          </cell>
          <cell r="G8">
            <v>5.3951802564102351</v>
          </cell>
          <cell r="H8">
            <v>0.42750976285714243</v>
          </cell>
          <cell r="I8">
            <v>1.1276481700000001</v>
          </cell>
          <cell r="J8">
            <v>0.10463552999999901</v>
          </cell>
          <cell r="K8">
            <v>0.30484689811035043</v>
          </cell>
          <cell r="L8">
            <v>2.2005894736841545</v>
          </cell>
          <cell r="M8">
            <v>60</v>
          </cell>
          <cell r="N8">
            <v>0.96666666666666667</v>
          </cell>
        </row>
        <row r="9">
          <cell r="A9">
            <v>0.35</v>
          </cell>
          <cell r="B9">
            <v>0.6</v>
          </cell>
          <cell r="C9">
            <v>2.3875682777777761E-2</v>
          </cell>
          <cell r="D9">
            <v>9.9592240000000096E-2</v>
          </cell>
          <cell r="E9">
            <v>8.6319999999973004E-5</v>
          </cell>
          <cell r="F9">
            <v>2.9826218776699571E-2</v>
          </cell>
          <cell r="G9">
            <v>5.4655114285714079</v>
          </cell>
          <cell r="H9">
            <v>0.47318986416666614</v>
          </cell>
          <cell r="I9">
            <v>1.18353956999999</v>
          </cell>
          <cell r="J9">
            <v>0.119086649999999</v>
          </cell>
          <cell r="K9">
            <v>0.2881934121109066</v>
          </cell>
          <cell r="L9">
            <v>1.7986050000000564</v>
          </cell>
          <cell r="M9">
            <v>60</v>
          </cell>
          <cell r="N9">
            <v>0.91666666666666663</v>
          </cell>
        </row>
        <row r="10">
          <cell r="A10">
            <v>0.4</v>
          </cell>
          <cell r="B10">
            <v>0.51666666666666672</v>
          </cell>
          <cell r="C10">
            <v>1.9059674193548381E-2</v>
          </cell>
          <cell r="D10">
            <v>9.8410640000000202E-2</v>
          </cell>
          <cell r="E10">
            <v>3.60350000000009E-4</v>
          </cell>
          <cell r="F10">
            <v>2.7477620910371609E-2</v>
          </cell>
          <cell r="G10">
            <v>5.3095333333333858</v>
          </cell>
          <cell r="H10">
            <v>0.51097902586206867</v>
          </cell>
          <cell r="I10">
            <v>1.2218385199999999</v>
          </cell>
          <cell r="J10">
            <v>0.10105631</v>
          </cell>
          <cell r="K10">
            <v>0.32782480958364207</v>
          </cell>
          <cell r="L10">
            <v>1.6873636363635944</v>
          </cell>
          <cell r="M10">
            <v>60</v>
          </cell>
          <cell r="N10">
            <v>0.8666666666666667</v>
          </cell>
        </row>
        <row r="11">
          <cell r="A11">
            <v>0.5</v>
          </cell>
          <cell r="B11">
            <v>0.43333333333333335</v>
          </cell>
          <cell r="C11">
            <v>2.0979206923076903E-2</v>
          </cell>
          <cell r="D11">
            <v>7.952099E-2</v>
          </cell>
          <cell r="E11">
            <v>3.9750000000004998E-5</v>
          </cell>
          <cell r="F11">
            <v>2.6626485233117152E-2</v>
          </cell>
          <cell r="G11">
            <v>4.6962721739130391</v>
          </cell>
          <cell r="H11">
            <v>0.55230465882352886</v>
          </cell>
          <cell r="I11">
            <v>1.3059414</v>
          </cell>
          <cell r="J11">
            <v>0.1110529</v>
          </cell>
          <cell r="K11">
            <v>0.35604722048405091</v>
          </cell>
          <cell r="L11">
            <v>1.8878964705882215</v>
          </cell>
          <cell r="M11">
            <v>60</v>
          </cell>
          <cell r="N11">
            <v>0.66666666666666663</v>
          </cell>
        </row>
        <row r="12">
          <cell r="A12">
            <v>0.75</v>
          </cell>
          <cell r="B12">
            <v>0.16666666666666666</v>
          </cell>
          <cell r="C12">
            <v>4.0705816999999957E-2</v>
          </cell>
          <cell r="D12">
            <v>7.9580499999999998E-2</v>
          </cell>
          <cell r="E12">
            <v>1.0103620000000001E-2</v>
          </cell>
          <cell r="F12">
            <v>2.3882327588237971E-2</v>
          </cell>
          <cell r="G12">
            <v>4.1039999999999202</v>
          </cell>
          <cell r="H12">
            <v>0.6752290769999989</v>
          </cell>
          <cell r="I12">
            <v>1.4831742800000001</v>
          </cell>
          <cell r="J12">
            <v>0.14935606999999901</v>
          </cell>
          <cell r="K12">
            <v>0.39077350756728685</v>
          </cell>
          <cell r="L12">
            <v>0.66400000000021397</v>
          </cell>
          <cell r="M12">
            <v>60</v>
          </cell>
          <cell r="N12">
            <v>0.05</v>
          </cell>
        </row>
        <row r="13">
          <cell r="A13">
            <v>1</v>
          </cell>
          <cell r="B13" t="e">
            <v>#DIV/0!</v>
          </cell>
          <cell r="C13" t="e">
            <v>#DIV/0!</v>
          </cell>
          <cell r="D13">
            <v>0</v>
          </cell>
          <cell r="E13">
            <v>0</v>
          </cell>
          <cell r="F13" t="e">
            <v>#DIV/0!</v>
          </cell>
          <cell r="G13" t="e">
            <v>#DIV/0!</v>
          </cell>
          <cell r="H13" t="e">
            <v>#DIV/0!</v>
          </cell>
          <cell r="I13">
            <v>0</v>
          </cell>
          <cell r="J13">
            <v>0</v>
          </cell>
          <cell r="K13" t="e">
            <v>#DIV/0!</v>
          </cell>
          <cell r="L13" t="e">
            <v>#DIV/0!</v>
          </cell>
          <cell r="M13">
            <v>0</v>
          </cell>
          <cell r="N13" t="e">
            <v>#VALUE!</v>
          </cell>
        </row>
        <row r="14">
          <cell r="A14">
            <v>0.17499999999999999</v>
          </cell>
          <cell r="B14">
            <v>0.68333333333333335</v>
          </cell>
          <cell r="C14">
            <v>1.9957306585365826E-2</v>
          </cell>
          <cell r="D14">
            <v>9.3910449999999895E-2</v>
          </cell>
          <cell r="E14">
            <v>4.0172999999999598E-4</v>
          </cell>
          <cell r="F14">
            <v>2.5088748393872186E-2</v>
          </cell>
          <cell r="G14">
            <v>6.7451912195121837</v>
          </cell>
          <cell r="H14">
            <v>0.51888745842105255</v>
          </cell>
          <cell r="I14">
            <v>1.64253753</v>
          </cell>
          <cell r="J14">
            <v>0.10072049999999901</v>
          </cell>
          <cell r="K14">
            <v>0.41246837108196355</v>
          </cell>
          <cell r="L14">
            <v>4.5364555555555377</v>
          </cell>
          <cell r="M14">
            <v>60</v>
          </cell>
          <cell r="N14">
            <v>0.98333333333333328</v>
          </cell>
        </row>
        <row r="15">
          <cell r="A15">
            <v>0.22500000000000001</v>
          </cell>
          <cell r="B15">
            <v>0.68333333333333335</v>
          </cell>
          <cell r="C15">
            <v>1.777285439024389E-2</v>
          </cell>
          <cell r="D15">
            <v>6.7086989999999902E-2</v>
          </cell>
          <cell r="E15">
            <v>5.5789999999999999E-5</v>
          </cell>
          <cell r="F15">
            <v>1.8177353256788559E-2</v>
          </cell>
          <cell r="G15">
            <v>6.7349563414633877</v>
          </cell>
          <cell r="H15">
            <v>0.45889719421052588</v>
          </cell>
          <cell r="I15">
            <v>1.52554335</v>
          </cell>
          <cell r="J15">
            <v>0.10040238</v>
          </cell>
          <cell r="K15">
            <v>0.35882528465831698</v>
          </cell>
          <cell r="L15">
            <v>3.7412176470588374</v>
          </cell>
          <cell r="M15">
            <v>60</v>
          </cell>
          <cell r="N15">
            <v>0.96666666666666667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M2">
            <v>1</v>
          </cell>
          <cell r="S2">
            <v>58</v>
          </cell>
          <cell r="U2">
            <v>1.0103852241379309E-2</v>
          </cell>
          <cell r="W2">
            <v>0.21492484499999998</v>
          </cell>
          <cell r="Y2">
            <v>6.471526296296271</v>
          </cell>
          <cell r="AA2">
            <v>2.41405</v>
          </cell>
        </row>
        <row r="3">
          <cell r="M3">
            <v>1</v>
          </cell>
          <cell r="S3">
            <v>2</v>
          </cell>
        </row>
        <row r="4">
          <cell r="M4">
            <v>0.35544108524543899</v>
          </cell>
          <cell r="S4">
            <v>0.96666666666666667</v>
          </cell>
          <cell r="U4">
            <v>8.8304919999999995E-2</v>
          </cell>
          <cell r="W4">
            <v>0.32065348999999999</v>
          </cell>
        </row>
        <row r="5">
          <cell r="M5">
            <v>1</v>
          </cell>
        </row>
        <row r="6">
          <cell r="M6">
            <v>1</v>
          </cell>
          <cell r="U6">
            <v>0</v>
          </cell>
          <cell r="W6">
            <v>0.10919619999999999</v>
          </cell>
        </row>
        <row r="7">
          <cell r="M7">
            <v>1</v>
          </cell>
        </row>
        <row r="8">
          <cell r="M8">
            <v>1</v>
          </cell>
          <cell r="U8">
            <v>1.8396840769619151E-2</v>
          </cell>
          <cell r="W8">
            <v>0.14952288369033037</v>
          </cell>
        </row>
        <row r="9">
          <cell r="M9">
            <v>0.31744051882595897</v>
          </cell>
        </row>
        <row r="10">
          <cell r="M10">
            <v>1</v>
          </cell>
        </row>
        <row r="11">
          <cell r="M11">
            <v>1</v>
          </cell>
        </row>
        <row r="12">
          <cell r="M12">
            <v>1</v>
          </cell>
        </row>
        <row r="13">
          <cell r="M13">
            <v>1</v>
          </cell>
        </row>
        <row r="14">
          <cell r="M14">
            <v>1</v>
          </cell>
        </row>
        <row r="15">
          <cell r="M15">
            <v>1</v>
          </cell>
        </row>
        <row r="16">
          <cell r="M16">
            <v>1</v>
          </cell>
        </row>
        <row r="17">
          <cell r="M17">
            <v>1</v>
          </cell>
        </row>
        <row r="18">
          <cell r="M18">
            <v>1</v>
          </cell>
        </row>
        <row r="19">
          <cell r="M19">
            <v>1</v>
          </cell>
        </row>
        <row r="20">
          <cell r="M20">
            <v>1</v>
          </cell>
        </row>
        <row r="21">
          <cell r="M21">
            <v>1</v>
          </cell>
        </row>
        <row r="22">
          <cell r="M22">
            <v>1</v>
          </cell>
        </row>
        <row r="23">
          <cell r="M23">
            <v>0.34437801667128998</v>
          </cell>
        </row>
        <row r="24">
          <cell r="M24">
            <v>1</v>
          </cell>
        </row>
        <row r="25">
          <cell r="M25">
            <v>1</v>
          </cell>
        </row>
        <row r="26">
          <cell r="M26">
            <v>1</v>
          </cell>
        </row>
        <row r="27">
          <cell r="M27">
            <v>1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1</v>
          </cell>
        </row>
        <row r="31">
          <cell r="M31">
            <v>1</v>
          </cell>
        </row>
        <row r="32">
          <cell r="M32">
            <v>1</v>
          </cell>
        </row>
        <row r="33">
          <cell r="M33">
            <v>1</v>
          </cell>
        </row>
        <row r="34">
          <cell r="M34">
            <v>1</v>
          </cell>
        </row>
        <row r="35">
          <cell r="M35">
            <v>1</v>
          </cell>
        </row>
        <row r="36">
          <cell r="M36">
            <v>1</v>
          </cell>
        </row>
        <row r="37">
          <cell r="M37">
            <v>1</v>
          </cell>
        </row>
        <row r="38">
          <cell r="M38">
            <v>1</v>
          </cell>
        </row>
        <row r="39">
          <cell r="M39">
            <v>1</v>
          </cell>
        </row>
        <row r="40">
          <cell r="M40">
            <v>1</v>
          </cell>
        </row>
        <row r="41">
          <cell r="M41">
            <v>1</v>
          </cell>
        </row>
        <row r="42">
          <cell r="M42">
            <v>1</v>
          </cell>
        </row>
        <row r="43">
          <cell r="M43">
            <v>1</v>
          </cell>
        </row>
        <row r="44">
          <cell r="M44">
            <v>1</v>
          </cell>
        </row>
        <row r="45">
          <cell r="M45">
            <v>1</v>
          </cell>
        </row>
        <row r="46">
          <cell r="M46">
            <v>0.35750055348224902</v>
          </cell>
        </row>
        <row r="47">
          <cell r="M47">
            <v>1</v>
          </cell>
        </row>
        <row r="48">
          <cell r="M48">
            <v>1</v>
          </cell>
        </row>
        <row r="49">
          <cell r="M49">
            <v>1</v>
          </cell>
        </row>
        <row r="50">
          <cell r="M50">
            <v>1</v>
          </cell>
        </row>
        <row r="51">
          <cell r="M51">
            <v>1</v>
          </cell>
        </row>
        <row r="52">
          <cell r="M52">
            <v>1</v>
          </cell>
        </row>
        <row r="53">
          <cell r="M53">
            <v>1</v>
          </cell>
        </row>
        <row r="54">
          <cell r="M54">
            <v>1</v>
          </cell>
        </row>
        <row r="55">
          <cell r="M55">
            <v>1</v>
          </cell>
        </row>
        <row r="56">
          <cell r="M56">
            <v>1</v>
          </cell>
        </row>
        <row r="57">
          <cell r="M57">
            <v>1</v>
          </cell>
        </row>
        <row r="58">
          <cell r="M58">
            <v>1</v>
          </cell>
        </row>
        <row r="59">
          <cell r="M59">
            <v>1</v>
          </cell>
        </row>
        <row r="60">
          <cell r="M60">
            <v>1</v>
          </cell>
        </row>
        <row r="61">
          <cell r="M61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M2">
            <v>1</v>
          </cell>
          <cell r="S2">
            <v>59</v>
          </cell>
          <cell r="U2">
            <v>3.8014952542372868E-3</v>
          </cell>
          <cell r="W2">
            <v>0.12560621</v>
          </cell>
          <cell r="Y2">
            <v>6.2180914035087538</v>
          </cell>
          <cell r="AA2">
            <v>3.4582999999999999</v>
          </cell>
        </row>
        <row r="3">
          <cell r="M3">
            <v>1</v>
          </cell>
          <cell r="S3">
            <v>1</v>
          </cell>
        </row>
        <row r="4">
          <cell r="M4">
            <v>1</v>
          </cell>
          <cell r="S4">
            <v>0.98333333333333328</v>
          </cell>
          <cell r="U4">
            <v>7.2444510000000101E-2</v>
          </cell>
          <cell r="W4">
            <v>0.12560621</v>
          </cell>
        </row>
        <row r="5">
          <cell r="M5">
            <v>1</v>
          </cell>
        </row>
        <row r="6">
          <cell r="M6">
            <v>1</v>
          </cell>
          <cell r="U6">
            <v>0</v>
          </cell>
          <cell r="W6">
            <v>0.12560621</v>
          </cell>
        </row>
        <row r="7">
          <cell r="M7">
            <v>1</v>
          </cell>
        </row>
        <row r="8">
          <cell r="M8">
            <v>1</v>
          </cell>
          <cell r="U8">
            <v>1.3717301059745597E-2</v>
          </cell>
          <cell r="W8" t="e">
            <v>#DIV/0!</v>
          </cell>
        </row>
        <row r="9">
          <cell r="M9">
            <v>1</v>
          </cell>
        </row>
        <row r="10">
          <cell r="M10">
            <v>1</v>
          </cell>
        </row>
        <row r="11">
          <cell r="M11">
            <v>1</v>
          </cell>
        </row>
        <row r="12">
          <cell r="M12">
            <v>1</v>
          </cell>
        </row>
        <row r="13">
          <cell r="M13">
            <v>1</v>
          </cell>
        </row>
        <row r="14">
          <cell r="M14">
            <v>1</v>
          </cell>
        </row>
        <row r="15">
          <cell r="M15">
            <v>1</v>
          </cell>
        </row>
        <row r="16">
          <cell r="M16">
            <v>1</v>
          </cell>
        </row>
        <row r="17">
          <cell r="M17">
            <v>1</v>
          </cell>
        </row>
        <row r="18">
          <cell r="M18">
            <v>1</v>
          </cell>
        </row>
        <row r="19">
          <cell r="M19">
            <v>1</v>
          </cell>
        </row>
        <row r="20">
          <cell r="M20">
            <v>1</v>
          </cell>
        </row>
        <row r="21">
          <cell r="M21">
            <v>1</v>
          </cell>
        </row>
        <row r="22">
          <cell r="M22">
            <v>1</v>
          </cell>
        </row>
        <row r="23">
          <cell r="M23">
            <v>1</v>
          </cell>
        </row>
        <row r="24">
          <cell r="M24">
            <v>1</v>
          </cell>
        </row>
        <row r="25">
          <cell r="M25">
            <v>1</v>
          </cell>
        </row>
        <row r="26">
          <cell r="M26">
            <v>1</v>
          </cell>
        </row>
        <row r="27">
          <cell r="M27">
            <v>1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1</v>
          </cell>
        </row>
        <row r="31">
          <cell r="M31">
            <v>1</v>
          </cell>
        </row>
        <row r="32">
          <cell r="M32">
            <v>1</v>
          </cell>
        </row>
        <row r="33">
          <cell r="M33">
            <v>1</v>
          </cell>
        </row>
        <row r="34">
          <cell r="M34">
            <v>1</v>
          </cell>
        </row>
        <row r="35">
          <cell r="M35">
            <v>1</v>
          </cell>
        </row>
        <row r="36">
          <cell r="M36">
            <v>1</v>
          </cell>
        </row>
        <row r="37">
          <cell r="M37">
            <v>1</v>
          </cell>
        </row>
        <row r="38">
          <cell r="M38">
            <v>1</v>
          </cell>
        </row>
        <row r="39">
          <cell r="M39">
            <v>1</v>
          </cell>
        </row>
        <row r="40">
          <cell r="M40">
            <v>1</v>
          </cell>
        </row>
        <row r="41">
          <cell r="M41">
            <v>0.26667629293041001</v>
          </cell>
        </row>
        <row r="42">
          <cell r="M42">
            <v>1</v>
          </cell>
        </row>
        <row r="43">
          <cell r="M43">
            <v>1</v>
          </cell>
        </row>
        <row r="44">
          <cell r="M44">
            <v>0.32135996375044001</v>
          </cell>
        </row>
        <row r="45">
          <cell r="M45">
            <v>1</v>
          </cell>
        </row>
        <row r="46">
          <cell r="M46">
            <v>1</v>
          </cell>
        </row>
        <row r="47">
          <cell r="M47">
            <v>1</v>
          </cell>
        </row>
        <row r="48">
          <cell r="M48">
            <v>1</v>
          </cell>
        </row>
        <row r="49">
          <cell r="M49">
            <v>1</v>
          </cell>
        </row>
        <row r="50">
          <cell r="M50">
            <v>1</v>
          </cell>
        </row>
        <row r="51">
          <cell r="M51">
            <v>1</v>
          </cell>
        </row>
        <row r="52">
          <cell r="M52">
            <v>1</v>
          </cell>
        </row>
        <row r="53">
          <cell r="M53">
            <v>1</v>
          </cell>
        </row>
        <row r="54">
          <cell r="M54">
            <v>1</v>
          </cell>
        </row>
        <row r="55">
          <cell r="M55">
            <v>1</v>
          </cell>
        </row>
        <row r="56">
          <cell r="M56">
            <v>1</v>
          </cell>
        </row>
        <row r="57">
          <cell r="M57">
            <v>1</v>
          </cell>
        </row>
        <row r="58">
          <cell r="M58">
            <v>1</v>
          </cell>
        </row>
        <row r="59">
          <cell r="M59">
            <v>1</v>
          </cell>
        </row>
        <row r="60">
          <cell r="M60">
            <v>1</v>
          </cell>
        </row>
        <row r="61">
          <cell r="M61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U2">
            <v>1.6229844423076904E-2</v>
          </cell>
          <cell r="W2">
            <v>0.30986761499999965</v>
          </cell>
          <cell r="Y2">
            <v>5.5025045769230729</v>
          </cell>
          <cell r="AA2">
            <v>2.7794857142857103</v>
          </cell>
        </row>
        <row r="4">
          <cell r="U4">
            <v>7.4070539999999893E-2</v>
          </cell>
          <cell r="W4">
            <v>0.73434935999999995</v>
          </cell>
        </row>
        <row r="6">
          <cell r="U6">
            <v>4.7416000000000098E-4</v>
          </cell>
          <cell r="W6">
            <v>0.11423460000000001</v>
          </cell>
        </row>
        <row r="8">
          <cell r="U8">
            <v>2.0237189675233112E-2</v>
          </cell>
          <cell r="W8">
            <v>0.2099554019243382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M1" t="str">
            <v>WeightUnity</v>
          </cell>
        </row>
        <row r="2">
          <cell r="S2">
            <v>52</v>
          </cell>
        </row>
        <row r="3">
          <cell r="S3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C677-BC5A-F646-B31C-08D82C40F9FF}">
  <dimension ref="A1:W110"/>
  <sheetViews>
    <sheetView topLeftCell="Q21" zoomScale="85" workbookViewId="0">
      <selection activeCell="AP36" sqref="AP36"/>
    </sheetView>
  </sheetViews>
  <sheetFormatPr baseColWidth="10" defaultRowHeight="16" x14ac:dyDescent="0.2"/>
  <sheetData>
    <row r="1" spans="1:21" x14ac:dyDescent="0.2">
      <c r="A1" t="s">
        <v>0</v>
      </c>
      <c r="B1" s="1" t="str">
        <f>[1]Feuil1!$A$1</f>
        <v>ContribDistance</v>
      </c>
      <c r="C1" s="1" t="str">
        <f>[1]Feuil1!$B$1</f>
        <v>Average Success</v>
      </c>
      <c r="D1" s="1" t="str">
        <f>[1]Feuil1!$C$1</f>
        <v>Average Distance Success</v>
      </c>
      <c r="E1" s="1" t="str">
        <f>[1]Feuil1!$D$1</f>
        <v>Max Distance Success</v>
      </c>
      <c r="F1" s="1" t="str">
        <f>[1]Feuil1!$E$1</f>
        <v>Min Distance Success</v>
      </c>
      <c r="G1" s="1" t="str">
        <f>[1]Feuil1!$F$1</f>
        <v>Std Distance Success</v>
      </c>
      <c r="H1" s="1" t="str">
        <f>[1]Feuil1!$G$1</f>
        <v>Time Known Success</v>
      </c>
      <c r="I1" s="1" t="str">
        <f>[1]Feuil1!$H$1</f>
        <v>Average Distance Failure</v>
      </c>
      <c r="J1" s="1" t="str">
        <f>[1]Feuil1!$I$1</f>
        <v>Max Distance Failure</v>
      </c>
      <c r="K1" s="1" t="str">
        <f>[1]Feuil1!$J$1</f>
        <v>Min Distance Failure</v>
      </c>
      <c r="L1" s="1" t="str">
        <f>[1]Feuil1!$K$1</f>
        <v>Std Distance Failure</v>
      </c>
      <c r="M1" s="1" t="str">
        <f>[1]Feuil1!$L$1</f>
        <v>Time Known Failure</v>
      </c>
      <c r="N1" s="1" t="str">
        <f>[1]Feuil1!$M$1</f>
        <v>Total Targets</v>
      </c>
      <c r="O1" s="1" t="str">
        <f>[1]Feuil1!$N$1</f>
        <v>%Weight1</v>
      </c>
      <c r="P1" s="2"/>
      <c r="Q1" s="2"/>
      <c r="R1" s="2" t="s">
        <v>58</v>
      </c>
      <c r="T1" s="2" t="s">
        <v>20</v>
      </c>
      <c r="U1" s="2" t="s">
        <v>21</v>
      </c>
    </row>
    <row r="2" spans="1:21" x14ac:dyDescent="0.2">
      <c r="B2" s="1">
        <f>[1]Feuil1!$A$2</f>
        <v>0</v>
      </c>
      <c r="C2" s="14">
        <f>[1]Feuil1!$B$2</f>
        <v>0.98333333333333328</v>
      </c>
      <c r="D2" s="13">
        <f>[1]Feuil1!$C$2</f>
        <v>9.2731198305084656E-3</v>
      </c>
      <c r="E2" s="13">
        <f>[1]Feuil1!$D$2</f>
        <v>7.1761349999999904E-2</v>
      </c>
      <c r="F2" s="13">
        <f>[1]Feuil1!$E$2</f>
        <v>5.0569999999999901E-4</v>
      </c>
      <c r="G2" s="13">
        <f>[1]Feuil1!$F$2</f>
        <v>1.3078264508676779E-2</v>
      </c>
      <c r="H2" s="13">
        <f>[1]Feuil1!$G$2</f>
        <v>5.4078084210526214</v>
      </c>
      <c r="I2" s="13">
        <f>[1]Feuil1!$H$2</f>
        <v>0.21641759999999999</v>
      </c>
      <c r="J2" s="13">
        <f>[1]Feuil1!$I$2</f>
        <v>0.21641759999999999</v>
      </c>
      <c r="K2" s="13">
        <f>[1]Feuil1!$J$2</f>
        <v>0.21641759999999999</v>
      </c>
      <c r="L2" s="13" t="e">
        <f>[1]Feuil1!$K$2</f>
        <v>#DIV/0!</v>
      </c>
      <c r="M2" s="13">
        <f>[1]Feuil1!$L$2</f>
        <v>2.4221999999999699</v>
      </c>
      <c r="N2" s="13">
        <f>[1]Feuil1!$M$2</f>
        <v>60</v>
      </c>
      <c r="O2" s="14">
        <f>[1]Feuil1!$N$2</f>
        <v>0.96666666666666667</v>
      </c>
      <c r="P2" s="11">
        <f t="shared" ref="P2:P14" si="0">D2*100</f>
        <v>0.92731198305084661</v>
      </c>
      <c r="Q2" s="11"/>
      <c r="R2" s="11"/>
      <c r="T2" s="4">
        <f t="shared" ref="T2:T14" si="1">1.96 * (G2*100)/SQRT(N2)</f>
        <v>0.33092575084408449</v>
      </c>
      <c r="U2" s="4">
        <f t="shared" ref="U2:U14" si="2">1.96 * (G2*100)/SQRT(N2)</f>
        <v>0.33092575084408449</v>
      </c>
    </row>
    <row r="3" spans="1:21" x14ac:dyDescent="0.2">
      <c r="B3" s="1">
        <f>[1]Feuil1!$A$3</f>
        <v>0.05</v>
      </c>
      <c r="C3" s="14">
        <f>[1]Feuil1!$B$3</f>
        <v>0.98333333333333328</v>
      </c>
      <c r="D3" s="13">
        <f>[1]Feuil1!$C$3</f>
        <v>9.2164405084745587E-3</v>
      </c>
      <c r="E3" s="13">
        <f>[1]Feuil1!$D$3</f>
        <v>7.7672689999999905E-2</v>
      </c>
      <c r="F3" s="13">
        <f>[1]Feuil1!$E$3</f>
        <v>6.0869999999999902E-4</v>
      </c>
      <c r="G3" s="13">
        <f>[1]Feuil1!$F$3</f>
        <v>1.3883058546823217E-2</v>
      </c>
      <c r="H3" s="13">
        <f>[1]Feuil1!$G$3</f>
        <v>5.3584298245613873</v>
      </c>
      <c r="I3" s="13">
        <f>[1]Feuil1!$H$3</f>
        <v>0.20867954</v>
      </c>
      <c r="J3" s="13">
        <f>[1]Feuil1!$I$3</f>
        <v>0.20867954</v>
      </c>
      <c r="K3" s="13">
        <f>[1]Feuil1!$J$3</f>
        <v>0.20867954</v>
      </c>
      <c r="L3" s="13" t="e">
        <f>[1]Feuil1!$K$3</f>
        <v>#DIV/0!</v>
      </c>
      <c r="M3" s="13">
        <f>[1]Feuil1!$L$3</f>
        <v>2.2783999999999098</v>
      </c>
      <c r="N3" s="13">
        <f>[1]Feuil1!$M$3</f>
        <v>60</v>
      </c>
      <c r="O3" s="14">
        <f>[1]Feuil1!$N$3</f>
        <v>0.96666666666666667</v>
      </c>
      <c r="P3" s="11">
        <f t="shared" si="0"/>
        <v>0.92164405084745582</v>
      </c>
      <c r="Q3" s="11"/>
      <c r="R3" s="11"/>
      <c r="T3" s="4">
        <f t="shared" si="1"/>
        <v>0.35128984970228988</v>
      </c>
      <c r="U3" s="4">
        <f t="shared" si="2"/>
        <v>0.35128984970228988</v>
      </c>
    </row>
    <row r="4" spans="1:21" x14ac:dyDescent="0.2">
      <c r="B4" s="1">
        <f>[1]Feuil1!$A$4</f>
        <v>0.1</v>
      </c>
      <c r="C4" s="14">
        <f>[1]Feuil1!$B$4</f>
        <v>0.98333333333333328</v>
      </c>
      <c r="D4" s="13">
        <f>[1]Feuil1!$C$4</f>
        <v>9.4753425423728631E-3</v>
      </c>
      <c r="E4" s="13">
        <f>[1]Feuil1!$D$4</f>
        <v>7.9872239999999997E-2</v>
      </c>
      <c r="F4" s="13">
        <f>[1]Feuil1!$E$4</f>
        <v>5.4960000000048297E-5</v>
      </c>
      <c r="G4" s="13">
        <f>[1]Feuil1!$F$4</f>
        <v>1.4740026487136919E-2</v>
      </c>
      <c r="H4" s="13">
        <f>[1]Feuil1!$G$4</f>
        <v>5.6016021052631606</v>
      </c>
      <c r="I4" s="13">
        <f>[1]Feuil1!$H$4</f>
        <v>0.22601566000000001</v>
      </c>
      <c r="J4" s="13">
        <f>[1]Feuil1!$I$4</f>
        <v>0.22601566000000001</v>
      </c>
      <c r="K4" s="13">
        <f>[1]Feuil1!$J$4</f>
        <v>0.22601566000000001</v>
      </c>
      <c r="L4" s="13" t="e">
        <f>[1]Feuil1!$K$4</f>
        <v>#DIV/0!</v>
      </c>
      <c r="M4" s="13">
        <f>[1]Feuil1!$L$4</f>
        <v>2.2320000000001898</v>
      </c>
      <c r="N4" s="13">
        <f>[1]Feuil1!$M$4</f>
        <v>60</v>
      </c>
      <c r="O4" s="14">
        <f>[1]Feuil1!$N$4</f>
        <v>0.96666666666666667</v>
      </c>
      <c r="P4" s="11">
        <f t="shared" si="0"/>
        <v>0.94753425423728632</v>
      </c>
      <c r="Q4" s="11"/>
      <c r="R4" s="11"/>
      <c r="T4" s="4">
        <f t="shared" si="1"/>
        <v>0.37297413043460498</v>
      </c>
      <c r="U4" s="4">
        <f t="shared" si="2"/>
        <v>0.37297413043460498</v>
      </c>
    </row>
    <row r="5" spans="1:21" x14ac:dyDescent="0.2">
      <c r="B5" s="1">
        <f>[1]Feuil1!$A$5</f>
        <v>0.15</v>
      </c>
      <c r="C5" s="14">
        <f>[1]Feuil1!$B$5</f>
        <v>0.98333333333333328</v>
      </c>
      <c r="D5" s="13">
        <f>[1]Feuil1!$C$5</f>
        <v>9.0027989830508102E-3</v>
      </c>
      <c r="E5" s="13">
        <f>[1]Feuil1!$D$5</f>
        <v>7.43323499999997E-2</v>
      </c>
      <c r="F5" s="13">
        <f>[1]Feuil1!$E$5</f>
        <v>1.5885999999975999E-4</v>
      </c>
      <c r="G5" s="13">
        <f>[1]Feuil1!$F$5</f>
        <v>1.3458379882233805E-2</v>
      </c>
      <c r="H5" s="13">
        <f>[1]Feuil1!$G$5</f>
        <v>5.2002105263157183</v>
      </c>
      <c r="I5" s="13">
        <f>[1]Feuil1!$H$5</f>
        <v>0.27256833999999902</v>
      </c>
      <c r="J5" s="13">
        <f>[1]Feuil1!$I$5</f>
        <v>0.27256833999999902</v>
      </c>
      <c r="K5" s="13">
        <f>[1]Feuil1!$J$5</f>
        <v>0.27256833999999902</v>
      </c>
      <c r="L5" s="13" t="e">
        <f>[1]Feuil1!$K$5</f>
        <v>#DIV/0!</v>
      </c>
      <c r="M5" s="13">
        <f>[1]Feuil1!$L$5</f>
        <v>2.1759999999997</v>
      </c>
      <c r="N5" s="13">
        <f>[1]Feuil1!$M$5</f>
        <v>60</v>
      </c>
      <c r="O5" s="14">
        <f>[1]Feuil1!$N$5</f>
        <v>0.96666666666666667</v>
      </c>
      <c r="P5" s="11">
        <f t="shared" si="0"/>
        <v>0.90027989830508104</v>
      </c>
      <c r="Q5" s="11"/>
      <c r="R5" s="11"/>
      <c r="T5" s="4">
        <f t="shared" si="1"/>
        <v>0.34054399685205311</v>
      </c>
      <c r="U5" s="4">
        <f t="shared" si="2"/>
        <v>0.34054399685205311</v>
      </c>
    </row>
    <row r="6" spans="1:21" x14ac:dyDescent="0.2">
      <c r="B6" s="1">
        <f>[1]Feuil1!$A$14</f>
        <v>0.17499999999999999</v>
      </c>
      <c r="C6" s="14">
        <f>[1]Feuil1!$B$14</f>
        <v>0.98333333333333328</v>
      </c>
      <c r="D6" s="13">
        <f>[1]Feuil1!$C$14</f>
        <v>8.9709177966101738E-3</v>
      </c>
      <c r="E6" s="13">
        <f>[1]Feuil1!$D$14</f>
        <v>6.7035029999999995E-2</v>
      </c>
      <c r="F6" s="13">
        <f>[1]Feuil1!$E$14</f>
        <v>3.1609000000004602E-4</v>
      </c>
      <c r="G6" s="13">
        <f>[1]Feuil1!$F$14</f>
        <v>1.1628722146246625E-2</v>
      </c>
      <c r="H6" s="13">
        <f>[1]Feuil1!$G$14</f>
        <v>6.2284212280701636</v>
      </c>
      <c r="I6" s="13">
        <f>[1]Feuil1!$H$14</f>
        <v>0.20177044999999899</v>
      </c>
      <c r="J6" s="13">
        <f>[1]Feuil1!$I$14</f>
        <v>0.20177044999999899</v>
      </c>
      <c r="K6" s="13">
        <f>[1]Feuil1!$J$14</f>
        <v>0.20177044999999899</v>
      </c>
      <c r="L6" s="13" t="e">
        <f>[1]Feuil1!$K$14</f>
        <v>#DIV/0!</v>
      </c>
      <c r="M6" s="13">
        <f>[1]Feuil1!$L$14</f>
        <v>3.40949999999998</v>
      </c>
      <c r="N6" s="13">
        <f>[1]Feuil1!$M$14</f>
        <v>60</v>
      </c>
      <c r="O6" s="14">
        <f>[1]Feuil1!$N$14</f>
        <v>0.96666666666666667</v>
      </c>
      <c r="P6" s="11">
        <f t="shared" si="0"/>
        <v>0.89709177966101739</v>
      </c>
      <c r="Q6" s="11"/>
      <c r="R6" s="11"/>
      <c r="T6" s="4">
        <f t="shared" si="1"/>
        <v>0.2942472684392321</v>
      </c>
      <c r="U6" s="4">
        <f t="shared" si="2"/>
        <v>0.2942472684392321</v>
      </c>
    </row>
    <row r="7" spans="1:21" x14ac:dyDescent="0.2">
      <c r="B7" s="1">
        <f>[1]Feuil1!$A$6</f>
        <v>0.2</v>
      </c>
      <c r="C7" s="14">
        <f>[1]Feuil1!$B$6</f>
        <v>0.98333333333333328</v>
      </c>
      <c r="D7" s="13">
        <f>[1]Feuil1!$C$6</f>
        <v>8.9885459322033862E-3</v>
      </c>
      <c r="E7" s="13">
        <f>[1]Feuil1!$D$6</f>
        <v>6.4243159999999994E-2</v>
      </c>
      <c r="F7" s="13">
        <f>[1]Feuil1!$E$6</f>
        <v>3.8340999999999999E-4</v>
      </c>
      <c r="G7" s="13">
        <f>[1]Feuil1!$F$6</f>
        <v>1.1135732587640021E-2</v>
      </c>
      <c r="H7" s="13">
        <f>[1]Feuil1!$G$6</f>
        <v>5.985776785714215</v>
      </c>
      <c r="I7" s="13">
        <f>[1]Feuil1!$H$6</f>
        <v>0.19988359999999999</v>
      </c>
      <c r="J7" s="13">
        <f>[1]Feuil1!$I$6</f>
        <v>0.19988359999999999</v>
      </c>
      <c r="K7" s="13">
        <f>[1]Feuil1!$J$6</f>
        <v>0.19988359999999999</v>
      </c>
      <c r="L7" s="13" t="e">
        <f>[1]Feuil1!$K$6</f>
        <v>#DIV/0!</v>
      </c>
      <c r="M7" s="13">
        <f>[1]Feuil1!$L$6</f>
        <v>3.36999999999989</v>
      </c>
      <c r="N7" s="13">
        <f>[1]Feuil1!$M$6</f>
        <v>60</v>
      </c>
      <c r="O7" s="14">
        <f>[1]Feuil1!$N$6</f>
        <v>0.95</v>
      </c>
      <c r="P7" s="11">
        <f t="shared" si="0"/>
        <v>0.89885459322033867</v>
      </c>
      <c r="Q7" s="11"/>
      <c r="R7" s="11"/>
      <c r="T7" s="4">
        <f t="shared" si="1"/>
        <v>0.28177291148369366</v>
      </c>
      <c r="U7" s="4">
        <f t="shared" si="2"/>
        <v>0.28177291148369366</v>
      </c>
    </row>
    <row r="8" spans="1:21" x14ac:dyDescent="0.2">
      <c r="B8" s="1">
        <f>[1]Feuil1!$A$15</f>
        <v>0.22500000000000001</v>
      </c>
      <c r="C8" s="14">
        <f>[1]Feuil1!$B$15</f>
        <v>0.98333333333333328</v>
      </c>
      <c r="D8" s="13">
        <f>[1]Feuil1!$C$15</f>
        <v>9.1639262711864494E-3</v>
      </c>
      <c r="E8" s="13">
        <f>[1]Feuil1!$D$15</f>
        <v>6.6814799999999994E-2</v>
      </c>
      <c r="F8" s="13">
        <f>[1]Feuil1!$E$15</f>
        <v>1.1214000000003799E-4</v>
      </c>
      <c r="G8" s="13">
        <f>[1]Feuil1!$F$15</f>
        <v>1.1429358123156246E-2</v>
      </c>
      <c r="H8" s="13">
        <f>[1]Feuil1!$G$15</f>
        <v>8.4643428571428387</v>
      </c>
      <c r="I8" s="13">
        <f>[1]Feuil1!$H$15</f>
        <v>0.17508898000000001</v>
      </c>
      <c r="J8" s="13">
        <f>[1]Feuil1!$I$15</f>
        <v>0.17508898000000001</v>
      </c>
      <c r="K8" s="13">
        <f>[1]Feuil1!$J$15</f>
        <v>0.17508898000000001</v>
      </c>
      <c r="L8" s="13" t="e">
        <f>[1]Feuil1!$K$15</f>
        <v>#DIV/0!</v>
      </c>
      <c r="M8" s="13">
        <f>[1]Feuil1!$L$15</f>
        <v>3.46899999999982</v>
      </c>
      <c r="N8" s="13">
        <f>[1]Feuil1!$M$15</f>
        <v>60</v>
      </c>
      <c r="O8" s="14">
        <f>[1]Feuil1!$N$15</f>
        <v>0.95</v>
      </c>
      <c r="P8" s="11">
        <f t="shared" si="0"/>
        <v>0.91639262711864489</v>
      </c>
      <c r="Q8" s="11"/>
      <c r="R8" s="11"/>
      <c r="T8" s="4">
        <f t="shared" si="1"/>
        <v>0.28920266263632072</v>
      </c>
      <c r="U8" s="4">
        <f t="shared" si="2"/>
        <v>0.28920266263632072</v>
      </c>
    </row>
    <row r="9" spans="1:21" x14ac:dyDescent="0.2">
      <c r="B9" s="1">
        <f>[1]Feuil1!$A$7</f>
        <v>0.25</v>
      </c>
      <c r="C9" s="14">
        <f>[1]Feuil1!$B$7</f>
        <v>0.98333333333333328</v>
      </c>
      <c r="D9" s="13">
        <f>[1]Feuil1!$C$7</f>
        <v>8.6124976271186194E-3</v>
      </c>
      <c r="E9" s="13">
        <f>[1]Feuil1!$D$7</f>
        <v>7.19389899999998E-2</v>
      </c>
      <c r="F9" s="13">
        <f>[1]Feuil1!$E$7</f>
        <v>2.21059999999999E-4</v>
      </c>
      <c r="G9" s="13">
        <f>[1]Feuil1!$F$7</f>
        <v>1.3138359990396932E-2</v>
      </c>
      <c r="H9" s="13">
        <f>[1]Feuil1!$G$7</f>
        <v>4.8544363636363714</v>
      </c>
      <c r="I9" s="13">
        <f>[1]Feuil1!$H$7</f>
        <v>0.37395872000000002</v>
      </c>
      <c r="J9" s="13">
        <f>[1]Feuil1!$I$7</f>
        <v>0.37395872000000002</v>
      </c>
      <c r="K9" s="13">
        <f>[1]Feuil1!$J$7</f>
        <v>0.37395872000000002</v>
      </c>
      <c r="L9" s="13" t="e">
        <f>[1]Feuil1!$K$7</f>
        <v>#DIV/0!</v>
      </c>
      <c r="M9" s="13">
        <f>[1]Feuil1!$L$7</f>
        <v>2.3609999999994198</v>
      </c>
      <c r="N9" s="13">
        <f>[1]Feuil1!$M$7</f>
        <v>60</v>
      </c>
      <c r="O9" s="14">
        <f>[1]Feuil1!$N$7</f>
        <v>0.93333333333333335</v>
      </c>
      <c r="P9" s="11">
        <f t="shared" si="0"/>
        <v>0.86124976271186193</v>
      </c>
      <c r="Q9" s="11"/>
      <c r="R9" s="11"/>
      <c r="T9" s="4">
        <f t="shared" si="1"/>
        <v>0.33244637633666296</v>
      </c>
      <c r="U9" s="4">
        <f t="shared" si="2"/>
        <v>0.33244637633666296</v>
      </c>
    </row>
    <row r="10" spans="1:21" x14ac:dyDescent="0.2">
      <c r="B10" s="1">
        <f>[1]Feuil1!$A$8</f>
        <v>0.3</v>
      </c>
      <c r="C10" s="14">
        <f>[1]Feuil1!$B$8</f>
        <v>0.98333333333333328</v>
      </c>
      <c r="D10" s="13">
        <f>[1]Feuil1!$C$8</f>
        <v>8.6324532203389745E-3</v>
      </c>
      <c r="E10" s="13">
        <f>[1]Feuil1!$D$8</f>
        <v>7.8393000000000004E-2</v>
      </c>
      <c r="F10" s="13">
        <f>[1]Feuil1!$E$8</f>
        <v>6.0229999999883398E-5</v>
      </c>
      <c r="G10" s="13">
        <f>[1]Feuil1!$F$8</f>
        <v>1.3912327519828486E-2</v>
      </c>
      <c r="H10" s="13">
        <f>[1]Feuil1!$G$8</f>
        <v>4.5038973584905699</v>
      </c>
      <c r="I10" s="13">
        <f>[1]Feuil1!$H$8</f>
        <v>0.3728224</v>
      </c>
      <c r="J10" s="13">
        <f>[1]Feuil1!$I$8</f>
        <v>0.3728224</v>
      </c>
      <c r="K10" s="13">
        <f>[1]Feuil1!$J$8</f>
        <v>0.3728224</v>
      </c>
      <c r="L10" s="13" t="e">
        <f>[1]Feuil1!$K$8</f>
        <v>#DIV/0!</v>
      </c>
      <c r="M10" s="13">
        <f>[1]Feuil1!$L$8</f>
        <v>2.1640000000002102</v>
      </c>
      <c r="N10" s="13">
        <f>[1]Feuil1!$M$8</f>
        <v>60</v>
      </c>
      <c r="O10" s="14">
        <f>[1]Feuil1!$N$8</f>
        <v>0.9</v>
      </c>
      <c r="P10" s="11">
        <f t="shared" si="0"/>
        <v>0.86324532203389748</v>
      </c>
      <c r="Q10" s="11"/>
      <c r="R10" s="11"/>
      <c r="T10" s="4">
        <f t="shared" si="1"/>
        <v>0.35203045690302187</v>
      </c>
      <c r="U10" s="4">
        <f t="shared" si="2"/>
        <v>0.35203045690302187</v>
      </c>
    </row>
    <row r="11" spans="1:21" x14ac:dyDescent="0.2">
      <c r="B11" s="1">
        <f>[1]Feuil1!$A$9</f>
        <v>0.35</v>
      </c>
      <c r="C11" s="14">
        <f>[1]Feuil1!$B$9</f>
        <v>0.98333333333333328</v>
      </c>
      <c r="D11" s="13">
        <f>[1]Feuil1!$C$9</f>
        <v>8.5657545762711819E-3</v>
      </c>
      <c r="E11" s="13">
        <f>[1]Feuil1!$D$9</f>
        <v>7.4972920000000096E-2</v>
      </c>
      <c r="F11" s="13">
        <f>[1]Feuil1!$E$9</f>
        <v>3.6020000000025402E-5</v>
      </c>
      <c r="G11" s="13">
        <f>[1]Feuil1!$F$9</f>
        <v>1.3423248431986921E-2</v>
      </c>
      <c r="H11" s="13">
        <f>[1]Feuil1!$G$9</f>
        <v>4.1317580392156694</v>
      </c>
      <c r="I11" s="13">
        <f>[1]Feuil1!$H$9</f>
        <v>0.38636945</v>
      </c>
      <c r="J11" s="13">
        <f>[1]Feuil1!$I$9</f>
        <v>0.38636945</v>
      </c>
      <c r="K11" s="13">
        <f>[1]Feuil1!$J$9</f>
        <v>0.38636945</v>
      </c>
      <c r="L11" s="13" t="e">
        <f>[1]Feuil1!$K$9</f>
        <v>#DIV/0!</v>
      </c>
      <c r="M11" s="13">
        <f>[1]Feuil1!$L$9</f>
        <v>2.0309999999999402</v>
      </c>
      <c r="N11" s="13">
        <f>[1]Feuil1!$M$9</f>
        <v>60</v>
      </c>
      <c r="O11" s="14">
        <f>[1]Feuil1!$N$9</f>
        <v>0.8666666666666667</v>
      </c>
      <c r="P11" s="11">
        <f t="shared" si="0"/>
        <v>0.85657545762711818</v>
      </c>
      <c r="Q11" s="11"/>
      <c r="R11" s="11"/>
      <c r="T11" s="4">
        <f t="shared" si="1"/>
        <v>0.33965504851005573</v>
      </c>
      <c r="U11" s="4">
        <f t="shared" si="2"/>
        <v>0.33965504851005573</v>
      </c>
    </row>
    <row r="12" spans="1:21" x14ac:dyDescent="0.2">
      <c r="B12" s="1">
        <f>[1]Feuil1!$A$10</f>
        <v>0.4</v>
      </c>
      <c r="C12" s="14">
        <f>[1]Feuil1!$B$10</f>
        <v>0.98333333333333328</v>
      </c>
      <c r="D12" s="13">
        <f>[1]Feuil1!$C$10</f>
        <v>8.6585577966101623E-3</v>
      </c>
      <c r="E12" s="13">
        <f>[1]Feuil1!$D$10</f>
        <v>7.1604029999999999E-2</v>
      </c>
      <c r="F12" s="13">
        <f>[1]Feuil1!$E$10</f>
        <v>2.37919999999999E-4</v>
      </c>
      <c r="G12" s="13">
        <f>[1]Feuil1!$F$10</f>
        <v>1.3012568070247499E-2</v>
      </c>
      <c r="H12" s="13">
        <f>[1]Feuil1!$G$10</f>
        <v>3.5845599999999802</v>
      </c>
      <c r="I12" s="13">
        <f>[1]Feuil1!$H$10</f>
        <v>0.51149087999999998</v>
      </c>
      <c r="J12" s="13">
        <f>[1]Feuil1!$I$10</f>
        <v>0.51149087999999998</v>
      </c>
      <c r="K12" s="13">
        <f>[1]Feuil1!$J$10</f>
        <v>0.51149087999999998</v>
      </c>
      <c r="L12" s="13" t="e">
        <f>[1]Feuil1!$K$10</f>
        <v>#DIV/0!</v>
      </c>
      <c r="M12" s="13">
        <f>[1]Feuil1!$L$10</f>
        <v>1.17299999999977</v>
      </c>
      <c r="N12" s="13">
        <f>[1]Feuil1!$M$10</f>
        <v>60</v>
      </c>
      <c r="O12" s="14">
        <f>[1]Feuil1!$N$10</f>
        <v>0.85</v>
      </c>
      <c r="P12" s="11">
        <f t="shared" si="0"/>
        <v>0.86585577966101623</v>
      </c>
      <c r="Q12" s="11"/>
      <c r="R12" s="11"/>
      <c r="T12" s="4">
        <f t="shared" si="1"/>
        <v>0.32926340159273176</v>
      </c>
      <c r="U12" s="4">
        <f t="shared" si="2"/>
        <v>0.32926340159273176</v>
      </c>
    </row>
    <row r="13" spans="1:21" x14ac:dyDescent="0.2">
      <c r="B13" s="1">
        <f>[1]Feuil1!$A$11</f>
        <v>0.5</v>
      </c>
      <c r="C13" s="14">
        <f>[1]Feuil1!$B$11</f>
        <v>0.98333333333333328</v>
      </c>
      <c r="D13" s="13">
        <f>[1]Feuil1!$C$11</f>
        <v>4.0309328813559319E-3</v>
      </c>
      <c r="E13" s="13">
        <f>[1]Feuil1!$D$11</f>
        <v>7.5509749999999903E-2</v>
      </c>
      <c r="F13" s="13">
        <f>[1]Feuil1!$E$11</f>
        <v>0</v>
      </c>
      <c r="G13" s="13">
        <f>[1]Feuil1!$F$11</f>
        <v>1.4212852464190106E-2</v>
      </c>
      <c r="H13" s="13">
        <f>[1]Feuil1!$G$11</f>
        <v>2.4799929411764761</v>
      </c>
      <c r="I13" s="13">
        <f>[1]Feuil1!$H$11</f>
        <v>0.122729359999999</v>
      </c>
      <c r="J13" s="13">
        <f>[1]Feuil1!$I$11</f>
        <v>0.122729359999999</v>
      </c>
      <c r="K13" s="13">
        <f>[1]Feuil1!$J$11</f>
        <v>0.122729359999999</v>
      </c>
      <c r="L13" s="13" t="e">
        <f>[1]Feuil1!$K$11</f>
        <v>#DIV/0!</v>
      </c>
      <c r="M13" s="13">
        <f>[1]Feuil1!$L$11</f>
        <v>1.0189999999999999</v>
      </c>
      <c r="N13" s="13">
        <f>[1]Feuil1!$M$11</f>
        <v>60</v>
      </c>
      <c r="O13" s="14">
        <f>[1]Feuil1!$N$11</f>
        <v>0.58333333333333337</v>
      </c>
      <c r="P13" s="11">
        <f t="shared" si="0"/>
        <v>0.4030932881355932</v>
      </c>
      <c r="Q13" s="11"/>
      <c r="R13" s="11"/>
      <c r="T13" s="4">
        <f t="shared" si="1"/>
        <v>0.35963478718662067</v>
      </c>
      <c r="U13" s="4">
        <f t="shared" si="2"/>
        <v>0.35963478718662067</v>
      </c>
    </row>
    <row r="14" spans="1:21" x14ac:dyDescent="0.2">
      <c r="B14" s="1">
        <f>[1]Feuil1!$A$12</f>
        <v>0.75</v>
      </c>
      <c r="C14" s="14">
        <f>[1]Feuil1!$B$12</f>
        <v>1</v>
      </c>
      <c r="D14" s="13">
        <f>[1]Feuil1!$C$12</f>
        <v>4.2443653333333461E-3</v>
      </c>
      <c r="E14" s="13">
        <f>[1]Feuil1!$D$12</f>
        <v>7.2143390000000293E-2</v>
      </c>
      <c r="F14" s="13">
        <f>[1]Feuil1!$E$12</f>
        <v>0</v>
      </c>
      <c r="G14" s="13">
        <f>[1]Feuil1!$F$12</f>
        <v>1.3702117140265266E-2</v>
      </c>
      <c r="H14" s="13">
        <f>[1]Feuil1!$G$12</f>
        <v>0.54599999999993498</v>
      </c>
      <c r="I14" s="13" t="e">
        <f>[1]Feuil1!$H$12</f>
        <v>#DIV/0!</v>
      </c>
      <c r="J14" s="13">
        <f>[1]Feuil1!$I$12</f>
        <v>0</v>
      </c>
      <c r="K14" s="13">
        <f>[1]Feuil1!$J$12</f>
        <v>0</v>
      </c>
      <c r="L14" s="13" t="e">
        <f>[1]Feuil1!$K$12</f>
        <v>#DIV/0!</v>
      </c>
      <c r="M14" s="13" t="e">
        <f>[1]Feuil1!$L$12</f>
        <v>#DIV/0!</v>
      </c>
      <c r="N14" s="13">
        <f>[1]Feuil1!$M$12</f>
        <v>60</v>
      </c>
      <c r="O14" s="14">
        <f>[1]Feuil1!$N$12</f>
        <v>1.6666666666666666E-2</v>
      </c>
      <c r="P14" s="11">
        <f t="shared" si="0"/>
        <v>0.42443653333333459</v>
      </c>
      <c r="Q14" s="11"/>
      <c r="R14" s="11"/>
      <c r="T14" s="4">
        <f t="shared" si="1"/>
        <v>0.34671140041459975</v>
      </c>
      <c r="U14" s="4">
        <f t="shared" si="2"/>
        <v>0.34671140041459975</v>
      </c>
    </row>
    <row r="15" spans="1:21" x14ac:dyDescent="0.2">
      <c r="B15" s="1">
        <f>[1]Feuil1!$A$13</f>
        <v>1</v>
      </c>
      <c r="C15" s="14" t="e">
        <f>[1]Feuil1!$B$13</f>
        <v>#DIV/0!</v>
      </c>
      <c r="D15" s="13" t="e">
        <f>[1]Feuil1!$C$13</f>
        <v>#DIV/0!</v>
      </c>
      <c r="E15" s="13">
        <f>[1]Feuil1!$D$13</f>
        <v>0</v>
      </c>
      <c r="F15" s="13">
        <f>[1]Feuil1!$E$13</f>
        <v>0</v>
      </c>
      <c r="G15" s="13" t="e">
        <f>[1]Feuil1!$F$13</f>
        <v>#DIV/0!</v>
      </c>
      <c r="H15" s="13" t="e">
        <f>[1]Feuil1!$G$13</f>
        <v>#DIV/0!</v>
      </c>
      <c r="I15" s="13" t="e">
        <f>[1]Feuil1!$H$13</f>
        <v>#DIV/0!</v>
      </c>
      <c r="J15" s="13">
        <f>[1]Feuil1!$I$13</f>
        <v>0</v>
      </c>
      <c r="K15" s="13">
        <f>[1]Feuil1!$J$13</f>
        <v>0</v>
      </c>
      <c r="L15" s="13" t="e">
        <f>[1]Feuil1!$K$13</f>
        <v>#DIV/0!</v>
      </c>
      <c r="M15" s="13" t="e">
        <f>[1]Feuil1!$L$13</f>
        <v>#DIV/0!</v>
      </c>
      <c r="N15" s="13">
        <f>[1]Feuil1!$M$13</f>
        <v>0</v>
      </c>
      <c r="O15" s="14" t="e">
        <f>[1]Feuil1!$N$13</f>
        <v>#VALUE!</v>
      </c>
      <c r="P15" s="11" t="e">
        <f t="shared" ref="P15" si="3">D15*100</f>
        <v>#DIV/0!</v>
      </c>
      <c r="Q15" s="11"/>
      <c r="R15" s="11"/>
      <c r="T15" s="4" t="e">
        <f t="shared" ref="T15" si="4">1.96 * (G15*100)/SQRT(N15)</f>
        <v>#DIV/0!</v>
      </c>
      <c r="U15" s="4" t="e">
        <f t="shared" ref="U15" si="5">1.96 * (G15*100)/SQRT(N15)</f>
        <v>#DIV/0!</v>
      </c>
    </row>
    <row r="17" spans="1:21" x14ac:dyDescent="0.2">
      <c r="A17" t="s">
        <v>15</v>
      </c>
      <c r="B17" s="1" t="str">
        <f>[2]Feuil1!$A$1</f>
        <v>ContribDistance</v>
      </c>
      <c r="C17" s="1" t="str">
        <f>[2]Feuil1!$B$1</f>
        <v>Average Success</v>
      </c>
      <c r="D17" s="1" t="str">
        <f>[2]Feuil1!$C$1</f>
        <v>Average Distance Success</v>
      </c>
      <c r="E17" s="1" t="str">
        <f>[2]Feuil1!$D$1</f>
        <v>Max Distance Success</v>
      </c>
      <c r="F17" s="1" t="str">
        <f>[2]Feuil1!$E$1</f>
        <v>Min Distance Success</v>
      </c>
      <c r="G17" s="1" t="str">
        <f>[2]Feuil1!F1</f>
        <v>Std Distance Success</v>
      </c>
      <c r="H17" s="1" t="str">
        <f>[2]Feuil1!$G$1</f>
        <v>Time Known Success</v>
      </c>
      <c r="I17" s="1" t="str">
        <f>[2]Feuil1!$H$1</f>
        <v>Average Distance Failure</v>
      </c>
      <c r="J17" s="1" t="str">
        <f>[2]Feuil1!$I$1</f>
        <v>Max Distance Failure</v>
      </c>
      <c r="K17" s="1" t="str">
        <f>[2]Feuil1!$J$1</f>
        <v>Min Distance Failure</v>
      </c>
      <c r="L17" s="1" t="str">
        <f>[2]Feuil1!$K$1</f>
        <v>Std Distance Failure</v>
      </c>
      <c r="M17" s="1" t="str">
        <f>[2]Feuil1!$L$1</f>
        <v>Time Known Failure</v>
      </c>
      <c r="N17" s="1" t="str">
        <f>[2]Feuil1!$M$1</f>
        <v>Total Targets</v>
      </c>
      <c r="O17" s="1" t="str">
        <f>[2]Feuil1!$N$1</f>
        <v>%Weight1</v>
      </c>
      <c r="P17" s="2"/>
      <c r="Q17" s="2"/>
      <c r="R17" s="2"/>
      <c r="T17" s="2" t="s">
        <v>20</v>
      </c>
      <c r="U17" s="2" t="s">
        <v>21</v>
      </c>
    </row>
    <row r="18" spans="1:21" x14ac:dyDescent="0.2">
      <c r="B18" s="1">
        <f>[2]Feuil1!$A$2</f>
        <v>0</v>
      </c>
      <c r="C18" s="14">
        <f>[2]Feuil1!$B$2</f>
        <v>0.8666666666666667</v>
      </c>
      <c r="D18" s="13">
        <f>[2]Feuil1!$C$2</f>
        <v>1.6229844423076904E-2</v>
      </c>
      <c r="E18" s="13">
        <f>[2]Feuil1!$D$2</f>
        <v>7.4070539999999893E-2</v>
      </c>
      <c r="F18" s="13">
        <f>[2]Feuil1!$E$2</f>
        <v>4.7416000000000098E-4</v>
      </c>
      <c r="G18" s="13">
        <f>[2]Feuil1!$F$2</f>
        <v>2.0237189675233112E-2</v>
      </c>
      <c r="H18" s="13">
        <f>[2]Feuil1!$G$2</f>
        <v>5.5025045769230729</v>
      </c>
      <c r="I18" s="13">
        <f>[2]Feuil1!$H$2</f>
        <v>0.30986761499999965</v>
      </c>
      <c r="J18" s="13">
        <f>[2]Feuil1!$I$2</f>
        <v>0.73434935999999995</v>
      </c>
      <c r="K18" s="13">
        <f>[2]Feuil1!$J$2</f>
        <v>0.11423460000000001</v>
      </c>
      <c r="L18" s="13">
        <f>[2]Feuil1!$K$2</f>
        <v>0.2099554019243382</v>
      </c>
      <c r="M18" s="13">
        <f>[2]Feuil1!$L$2</f>
        <v>2.7794857142857103</v>
      </c>
      <c r="N18" s="13">
        <f>[2]Feuil1!$M$2</f>
        <v>60</v>
      </c>
      <c r="O18" s="14">
        <f>[2]Feuil1!$N$2</f>
        <v>0.98333333333333328</v>
      </c>
      <c r="P18" s="11">
        <f t="shared" ref="P18:P30" si="6">D18*100</f>
        <v>1.6229844423076905</v>
      </c>
      <c r="Q18" s="11"/>
      <c r="R18" s="11"/>
      <c r="T18" s="4">
        <f t="shared" ref="T18:T30" si="7" xml:space="preserve"> 1.96 * (G18*100)/SQRT(N18)</f>
        <v>0.51207155076329436</v>
      </c>
      <c r="U18" s="4">
        <f t="shared" ref="U18:U30" si="8">1.96 * (G18*100)/SQRT(N18)</f>
        <v>0.51207155076329436</v>
      </c>
    </row>
    <row r="19" spans="1:21" x14ac:dyDescent="0.2">
      <c r="B19" s="1">
        <f>[2]Feuil1!$A$3</f>
        <v>0.05</v>
      </c>
      <c r="C19" s="14">
        <f>[2]Feuil1!$B$3</f>
        <v>0.8666666666666667</v>
      </c>
      <c r="D19" s="13">
        <f>[2]Feuil1!$C$3</f>
        <v>1.3964737307692317E-2</v>
      </c>
      <c r="E19" s="13">
        <f>[2]Feuil1!$D$3</f>
        <v>6.79158599999998E-2</v>
      </c>
      <c r="F19" s="13">
        <f>[2]Feuil1!$E$3</f>
        <v>3.48970000000559E-4</v>
      </c>
      <c r="G19" s="13">
        <f>[2]Feuil1!$F$3</f>
        <v>1.8118208563323735E-2</v>
      </c>
      <c r="H19" s="13">
        <f>[2]Feuil1!$G$3</f>
        <v>5.2523788461538725</v>
      </c>
      <c r="I19" s="13">
        <f>[2]Feuil1!$H$3</f>
        <v>0.33554886999999944</v>
      </c>
      <c r="J19" s="13">
        <f>[2]Feuil1!$I$3</f>
        <v>0.73453587999999903</v>
      </c>
      <c r="K19" s="13">
        <f>[2]Feuil1!$J$3</f>
        <v>0.11597056</v>
      </c>
      <c r="L19" s="13">
        <f>[2]Feuil1!$K$3</f>
        <v>0.24847590490464261</v>
      </c>
      <c r="M19" s="13">
        <f>[2]Feuil1!$L$3</f>
        <v>2.7754714285713482</v>
      </c>
      <c r="N19" s="13">
        <f>[2]Feuil1!$M$3</f>
        <v>60</v>
      </c>
      <c r="O19" s="14">
        <f>[2]Feuil1!$N$3</f>
        <v>0.98333333333333328</v>
      </c>
      <c r="P19" s="11">
        <f t="shared" si="6"/>
        <v>1.3964737307692316</v>
      </c>
      <c r="Q19" s="11"/>
      <c r="R19" s="11"/>
      <c r="T19" s="4">
        <f t="shared" si="7"/>
        <v>0.4584539308552541</v>
      </c>
      <c r="U19" s="4">
        <f t="shared" si="8"/>
        <v>0.4584539308552541</v>
      </c>
    </row>
    <row r="20" spans="1:21" x14ac:dyDescent="0.2">
      <c r="B20" s="1">
        <f>[2]Feuil1!$A$4</f>
        <v>0.1</v>
      </c>
      <c r="C20" s="14">
        <f>[2]Feuil1!$B$4</f>
        <v>0.8833333333333333</v>
      </c>
      <c r="D20" s="13">
        <f>[2]Feuil1!$C$4</f>
        <v>1.4426264528301858E-2</v>
      </c>
      <c r="E20" s="13">
        <f>[2]Feuil1!$D$4</f>
        <v>6.9590819999999998E-2</v>
      </c>
      <c r="F20" s="13">
        <f>[2]Feuil1!$E$4</f>
        <v>2.89360000000016E-4</v>
      </c>
      <c r="G20" s="13">
        <f>[2]Feuil1!$F$4</f>
        <v>1.8184451024211335E-2</v>
      </c>
      <c r="H20" s="13">
        <f>[2]Feuil1!$G$4</f>
        <v>5.6566463461538294</v>
      </c>
      <c r="I20" s="13">
        <f>[2]Feuil1!$H$4</f>
        <v>0.34389288714285698</v>
      </c>
      <c r="J20" s="13">
        <f>[2]Feuil1!$I$4</f>
        <v>0.75906110999999998</v>
      </c>
      <c r="K20" s="13">
        <f>[2]Feuil1!$J$4</f>
        <v>0.11674904999999999</v>
      </c>
      <c r="L20" s="13">
        <f>[2]Feuil1!$K$4</f>
        <v>0.2801983114988742</v>
      </c>
      <c r="M20" s="13">
        <f>[2]Feuil1!$L$4</f>
        <v>2.7243333333333304</v>
      </c>
      <c r="N20" s="13">
        <f>[2]Feuil1!$M$4</f>
        <v>60</v>
      </c>
      <c r="O20" s="14">
        <f>[2]Feuil1!$N$4</f>
        <v>0.96666666666666667</v>
      </c>
      <c r="P20" s="11">
        <f t="shared" si="6"/>
        <v>1.4426264528301858</v>
      </c>
      <c r="Q20" s="11"/>
      <c r="R20" s="11"/>
      <c r="T20" s="4">
        <f t="shared" si="7"/>
        <v>0.46013009638107333</v>
      </c>
      <c r="U20" s="4">
        <f t="shared" si="8"/>
        <v>0.46013009638107333</v>
      </c>
    </row>
    <row r="21" spans="1:21" x14ac:dyDescent="0.2">
      <c r="B21" s="1">
        <f>[2]Feuil1!$A$5</f>
        <v>0.15</v>
      </c>
      <c r="C21" s="14">
        <f>[2]Feuil1!$B$5</f>
        <v>0.8666666666666667</v>
      </c>
      <c r="D21" s="13">
        <f>[2]Feuil1!$C$5</f>
        <v>1.4657094615384629E-2</v>
      </c>
      <c r="E21" s="13">
        <f>[2]Feuil1!$D$5</f>
        <v>9.4080629999999804E-2</v>
      </c>
      <c r="F21" s="13">
        <f>[2]Feuil1!$E$5</f>
        <v>3.5099999999843502E-5</v>
      </c>
      <c r="G21" s="13">
        <f>[2]Feuil1!$F$5</f>
        <v>1.9797764827868637E-2</v>
      </c>
      <c r="H21" s="13">
        <f>[2]Feuil1!$G$5</f>
        <v>5.6068431372549368</v>
      </c>
      <c r="I21" s="13">
        <f>[2]Feuil1!$H$5</f>
        <v>0.32384577374999962</v>
      </c>
      <c r="J21" s="13">
        <f>[2]Feuil1!$I$5</f>
        <v>0.737177269999999</v>
      </c>
      <c r="K21" s="13">
        <f>[2]Feuil1!$J$5</f>
        <v>0.11849008</v>
      </c>
      <c r="L21" s="13">
        <f>[2]Feuil1!$K$5</f>
        <v>0.25173839252401037</v>
      </c>
      <c r="M21" s="13">
        <f>[2]Feuil1!$L$5</f>
        <v>2.6281666666666266</v>
      </c>
      <c r="N21" s="13">
        <f>[2]Feuil1!$M$5</f>
        <v>60</v>
      </c>
      <c r="O21" s="14">
        <f>[2]Feuil1!$N$5</f>
        <v>0.95</v>
      </c>
      <c r="P21" s="11">
        <f t="shared" si="6"/>
        <v>1.4657094615384629</v>
      </c>
      <c r="Q21" s="11"/>
      <c r="R21" s="11"/>
      <c r="T21" s="4">
        <f t="shared" si="7"/>
        <v>0.50095256800704568</v>
      </c>
      <c r="U21" s="4">
        <f t="shared" si="8"/>
        <v>0.50095256800704568</v>
      </c>
    </row>
    <row r="22" spans="1:21" x14ac:dyDescent="0.2">
      <c r="B22" s="1">
        <f>[2]Feuil1!$A$14</f>
        <v>0.17499999999999999</v>
      </c>
      <c r="C22" s="14">
        <f>[2]Feuil1!$B$14</f>
        <v>0.8833333333333333</v>
      </c>
      <c r="D22" s="13">
        <f>[2]Feuil1!$C$14</f>
        <v>1.4442757924528279E-2</v>
      </c>
      <c r="E22" s="13">
        <f>[2]Feuil1!$D$14</f>
        <v>9.5754339999999993E-2</v>
      </c>
      <c r="F22" s="13">
        <f>[2]Feuil1!$E$14</f>
        <v>1.4802999999985399E-4</v>
      </c>
      <c r="G22" s="13">
        <f>[2]Feuil1!$F$14</f>
        <v>1.8049387898718783E-2</v>
      </c>
      <c r="H22" s="13">
        <f>[2]Feuil1!$G$14</f>
        <v>7.8997997499999988</v>
      </c>
      <c r="I22" s="13">
        <f>[2]Feuil1!$H$14</f>
        <v>0.36744944714285671</v>
      </c>
      <c r="J22" s="13">
        <f>[2]Feuil1!$I$14</f>
        <v>0.74299374999999901</v>
      </c>
      <c r="K22" s="13">
        <f>[2]Feuil1!$J$14</f>
        <v>0.11842447</v>
      </c>
      <c r="L22" s="13">
        <f>[2]Feuil1!$K$14</f>
        <v>0.27212944101087422</v>
      </c>
      <c r="M22" s="13">
        <f>[2]Feuil1!$L$14</f>
        <v>2.5276400000000141</v>
      </c>
      <c r="N22" s="13">
        <f>[2]Feuil1!$M$14</f>
        <v>60</v>
      </c>
      <c r="O22" s="14">
        <f>[2]Feuil1!$N$14</f>
        <v>0.95</v>
      </c>
      <c r="P22" s="11">
        <f t="shared" si="6"/>
        <v>1.444275792452828</v>
      </c>
      <c r="Q22" s="11"/>
      <c r="R22" s="11"/>
      <c r="T22" s="4">
        <f t="shared" si="7"/>
        <v>0.45671252777437343</v>
      </c>
      <c r="U22" s="4">
        <f t="shared" si="8"/>
        <v>0.45671252777437343</v>
      </c>
    </row>
    <row r="23" spans="1:21" x14ac:dyDescent="0.2">
      <c r="B23" s="1">
        <f>[2]Feuil1!$A$6</f>
        <v>0.2</v>
      </c>
      <c r="C23" s="14">
        <f>[2]Feuil1!$B$6</f>
        <v>0.83606557377049184</v>
      </c>
      <c r="D23" s="13">
        <f>[2]Feuil1!$C$6</f>
        <v>1.3558929600000023E-2</v>
      </c>
      <c r="E23" s="13">
        <f>[2]Feuil1!$D$6</f>
        <v>6.5651319999999902E-2</v>
      </c>
      <c r="F23" s="13">
        <f>[2]Feuil1!$E$6</f>
        <v>7.4249999999942404E-5</v>
      </c>
      <c r="G23" s="13">
        <f>[2]Feuil1!$F$6</f>
        <v>1.3867492288932517E-2</v>
      </c>
      <c r="H23" s="13">
        <f>[2]Feuil1!$G$6</f>
        <v>6.3362126530612501</v>
      </c>
      <c r="I23" s="13">
        <f>[2]Feuil1!$H$6</f>
        <v>0.39488622699999987</v>
      </c>
      <c r="J23" s="13">
        <f>[2]Feuil1!$I$6</f>
        <v>0.83523968000000004</v>
      </c>
      <c r="K23" s="13">
        <f>[2]Feuil1!$J$6</f>
        <v>0.11190632</v>
      </c>
      <c r="L23" s="13">
        <f>[2]Feuil1!$K$6</f>
        <v>0.27979467789297996</v>
      </c>
      <c r="M23" s="13">
        <f>[2]Feuil1!$L$6</f>
        <v>3.5028571428570068</v>
      </c>
      <c r="N23" s="13">
        <f>[2]Feuil1!$M$6</f>
        <v>61</v>
      </c>
      <c r="O23" s="14">
        <f>[2]Feuil1!$N$6</f>
        <v>0.93442622950819676</v>
      </c>
      <c r="P23" s="11">
        <f t="shared" si="6"/>
        <v>1.3558929600000023</v>
      </c>
      <c r="Q23" s="11"/>
      <c r="R23" s="11"/>
      <c r="T23" s="4">
        <f t="shared" si="7"/>
        <v>0.34800788725300902</v>
      </c>
      <c r="U23" s="4">
        <f t="shared" si="8"/>
        <v>0.34800788725300902</v>
      </c>
    </row>
    <row r="24" spans="1:21" x14ac:dyDescent="0.2">
      <c r="B24" s="1">
        <f>[2]Feuil1!$A$15</f>
        <v>0.22500000000000001</v>
      </c>
      <c r="C24" s="14">
        <f>[2]Feuil1!$B$15</f>
        <v>0.8833333333333333</v>
      </c>
      <c r="D24" s="13">
        <f>[2]Feuil1!$C$15</f>
        <v>1.3859047924528287E-2</v>
      </c>
      <c r="E24" s="13">
        <f>[2]Feuil1!$D$15</f>
        <v>5.7093390000000098E-2</v>
      </c>
      <c r="F24" s="13">
        <f>[2]Feuil1!$E$15</f>
        <v>2.7105000000004998E-4</v>
      </c>
      <c r="G24" s="13">
        <f>[2]Feuil1!$F$15</f>
        <v>1.4535980655443492E-2</v>
      </c>
      <c r="H24" s="13">
        <f>[2]Feuil1!$G$15</f>
        <v>6.338751923076912</v>
      </c>
      <c r="I24" s="13">
        <f>[2]Feuil1!$H$15</f>
        <v>0.37763766857142816</v>
      </c>
      <c r="J24" s="13">
        <f>[2]Feuil1!$I$15</f>
        <v>0.75878625999999905</v>
      </c>
      <c r="K24" s="13">
        <f>[2]Feuil1!$J$15</f>
        <v>0.11389775000000001</v>
      </c>
      <c r="L24" s="13">
        <f>[2]Feuil1!$K$15</f>
        <v>0.28262407151925406</v>
      </c>
      <c r="M24" s="13">
        <f>[2]Feuil1!$L$15</f>
        <v>2.5059800000000418</v>
      </c>
      <c r="N24" s="13">
        <f>[2]Feuil1!$M$15</f>
        <v>60</v>
      </c>
      <c r="O24" s="14">
        <f>[2]Feuil1!$N$15</f>
        <v>0.95</v>
      </c>
      <c r="P24" s="11">
        <f t="shared" si="6"/>
        <v>1.3859047924528287</v>
      </c>
      <c r="Q24" s="11"/>
      <c r="R24" s="11"/>
      <c r="T24" s="4">
        <f t="shared" si="7"/>
        <v>0.36781105852892865</v>
      </c>
      <c r="U24" s="4">
        <f t="shared" si="8"/>
        <v>0.36781105852892865</v>
      </c>
    </row>
    <row r="25" spans="1:21" x14ac:dyDescent="0.2">
      <c r="B25" s="1">
        <f>[2]Feuil1!$A$7</f>
        <v>0.25</v>
      </c>
      <c r="C25" s="14">
        <f>[2]Feuil1!$B$7</f>
        <v>0.8666666666666667</v>
      </c>
      <c r="D25" s="13">
        <f>[2]Feuil1!$C$7</f>
        <v>1.468383269230767E-2</v>
      </c>
      <c r="E25" s="13">
        <f>[2]Feuil1!$D$7</f>
        <v>8.1180619999999995E-2</v>
      </c>
      <c r="F25" s="13">
        <f>[2]Feuil1!$E$7</f>
        <v>1.34490000000209E-4</v>
      </c>
      <c r="G25" s="13">
        <f>[2]Feuil1!$F$7</f>
        <v>1.8684699328057192E-2</v>
      </c>
      <c r="H25" s="13">
        <f>[2]Feuil1!$G$7</f>
        <v>5.4186799999999797</v>
      </c>
      <c r="I25" s="13">
        <f>[2]Feuil1!$H$7</f>
        <v>0.35955697749999982</v>
      </c>
      <c r="J25" s="13">
        <f>[2]Feuil1!$I$7</f>
        <v>0.73489347999999999</v>
      </c>
      <c r="K25" s="13">
        <f>[2]Feuil1!$J$7</f>
        <v>0.11869144</v>
      </c>
      <c r="L25" s="13">
        <f>[2]Feuil1!$K$7</f>
        <v>0.25090794973926822</v>
      </c>
      <c r="M25" s="13">
        <f>[2]Feuil1!$L$7</f>
        <v>1.971166666666776</v>
      </c>
      <c r="N25" s="13">
        <f>[2]Feuil1!$M$7</f>
        <v>60</v>
      </c>
      <c r="O25" s="14">
        <f>[2]Feuil1!$N$7</f>
        <v>0.93333333333333335</v>
      </c>
      <c r="P25" s="11">
        <f t="shared" si="6"/>
        <v>1.468383269230767</v>
      </c>
      <c r="Q25" s="11"/>
      <c r="R25" s="11"/>
      <c r="T25" s="4">
        <f t="shared" si="7"/>
        <v>0.4727881249328616</v>
      </c>
      <c r="U25" s="4">
        <f t="shared" si="8"/>
        <v>0.4727881249328616</v>
      </c>
    </row>
    <row r="26" spans="1:21" x14ac:dyDescent="0.2">
      <c r="B26" s="1">
        <f>[2]Feuil1!$A$8</f>
        <v>0.3</v>
      </c>
      <c r="C26" s="14">
        <f>[2]Feuil1!$B$8</f>
        <v>0.81666666666666665</v>
      </c>
      <c r="D26" s="13">
        <f>[2]Feuil1!$C$8</f>
        <v>1.439551469387754E-2</v>
      </c>
      <c r="E26" s="13">
        <f>[2]Feuil1!$D$8</f>
        <v>6.8744429999999898E-2</v>
      </c>
      <c r="F26" s="13">
        <f>[2]Feuil1!$E$8</f>
        <v>4.7380999999999899E-4</v>
      </c>
      <c r="G26" s="13">
        <f>[2]Feuil1!$F$8</f>
        <v>1.7635447206024536E-2</v>
      </c>
      <c r="H26" s="13">
        <f>[2]Feuil1!$G$8</f>
        <v>5.0550947916665905</v>
      </c>
      <c r="I26" s="13">
        <f>[2]Feuil1!$H$8</f>
        <v>0.36515619363636315</v>
      </c>
      <c r="J26" s="13">
        <f>[2]Feuil1!$I$8</f>
        <v>0.86740980999999895</v>
      </c>
      <c r="K26" s="13">
        <f>[2]Feuil1!$J$8</f>
        <v>0.10705152</v>
      </c>
      <c r="L26" s="13">
        <f>[2]Feuil1!$K$8</f>
        <v>0.25221176882721846</v>
      </c>
      <c r="M26" s="13">
        <f>[2]Feuil1!$L$8</f>
        <v>1.5026000000000541</v>
      </c>
      <c r="N26" s="13">
        <f>[2]Feuil1!$M$8</f>
        <v>60</v>
      </c>
      <c r="O26" s="14">
        <f>[2]Feuil1!$N$8</f>
        <v>0.93333333333333335</v>
      </c>
      <c r="P26" s="11">
        <f t="shared" si="6"/>
        <v>1.439551469387754</v>
      </c>
      <c r="Q26" s="11"/>
      <c r="R26" s="11"/>
      <c r="T26" s="4">
        <f t="shared" si="7"/>
        <v>0.44623838310144059</v>
      </c>
      <c r="U26" s="4">
        <f t="shared" si="8"/>
        <v>0.44623838310144059</v>
      </c>
    </row>
    <row r="27" spans="1:21" x14ac:dyDescent="0.2">
      <c r="B27" s="1">
        <f>[2]Feuil1!$A$9</f>
        <v>0.35</v>
      </c>
      <c r="C27" s="14">
        <f>[2]Feuil1!$B$9</f>
        <v>0.8</v>
      </c>
      <c r="D27" s="13">
        <f>[2]Feuil1!$C$9</f>
        <v>1.9843652916666666E-2</v>
      </c>
      <c r="E27" s="13">
        <f>[2]Feuil1!$D$9</f>
        <v>9.5319550000000003E-2</v>
      </c>
      <c r="F27" s="13">
        <f>[2]Feuil1!$E$9</f>
        <v>3.0572000000003702E-4</v>
      </c>
      <c r="G27" s="13">
        <f>[2]Feuil1!$F$9</f>
        <v>2.3357560669510183E-2</v>
      </c>
      <c r="H27" s="13">
        <f>[2]Feuil1!$G$9</f>
        <v>4.5416326086955667</v>
      </c>
      <c r="I27" s="13">
        <f>[2]Feuil1!$H$9</f>
        <v>0.31680758666666653</v>
      </c>
      <c r="J27" s="13">
        <f>[2]Feuil1!$I$9</f>
        <v>0.67593360000000002</v>
      </c>
      <c r="K27" s="13">
        <f>[2]Feuil1!$J$9</f>
        <v>0.104742479999999</v>
      </c>
      <c r="L27" s="13">
        <f>[2]Feuil1!$K$9</f>
        <v>0.19243542382034734</v>
      </c>
      <c r="M27" s="13">
        <f>[2]Feuil1!$L$9</f>
        <v>1.9500000000000126</v>
      </c>
      <c r="N27" s="13">
        <f>[2]Feuil1!$M$9</f>
        <v>60</v>
      </c>
      <c r="O27" s="14">
        <f>[2]Feuil1!$N$9</f>
        <v>0.9</v>
      </c>
      <c r="P27" s="11">
        <f t="shared" si="6"/>
        <v>1.9843652916666665</v>
      </c>
      <c r="Q27" s="11"/>
      <c r="R27" s="11"/>
      <c r="T27" s="4">
        <f t="shared" si="7"/>
        <v>0.59102783074280973</v>
      </c>
      <c r="U27" s="4">
        <f t="shared" si="8"/>
        <v>0.59102783074280973</v>
      </c>
    </row>
    <row r="28" spans="1:21" x14ac:dyDescent="0.2">
      <c r="B28" s="1">
        <f>[2]Feuil1!$A$10</f>
        <v>0.4</v>
      </c>
      <c r="C28" s="14">
        <f>[2]Feuil1!$B$10</f>
        <v>0.76666666666666672</v>
      </c>
      <c r="D28" s="13">
        <f>[2]Feuil1!$C$10</f>
        <v>2.1775529782608695E-2</v>
      </c>
      <c r="E28" s="13">
        <f>[2]Feuil1!$D$10</f>
        <v>9.2606910000000001E-2</v>
      </c>
      <c r="F28" s="13">
        <f>[2]Feuil1!$E$10</f>
        <v>1.56009999999984E-4</v>
      </c>
      <c r="G28" s="13">
        <f>[2]Feuil1!$F$10</f>
        <v>2.4393432911682431E-2</v>
      </c>
      <c r="H28" s="13">
        <f>[2]Feuil1!$G$10</f>
        <v>4.2077272727272552</v>
      </c>
      <c r="I28" s="13">
        <f>[2]Feuil1!$H$10</f>
        <v>0.31268518428571396</v>
      </c>
      <c r="J28" s="13">
        <f>[2]Feuil1!$I$10</f>
        <v>0.63724051999999998</v>
      </c>
      <c r="K28" s="13">
        <f>[2]Feuil1!$J$10</f>
        <v>0.11069229999999899</v>
      </c>
      <c r="L28" s="13">
        <f>[2]Feuil1!$K$10</f>
        <v>0.18474204643181358</v>
      </c>
      <c r="M28" s="13">
        <f>[2]Feuil1!$L$10</f>
        <v>1.7092999999999818</v>
      </c>
      <c r="N28" s="13">
        <f>[2]Feuil1!$M$10</f>
        <v>60</v>
      </c>
      <c r="O28" s="14">
        <f>[2]Feuil1!$N$10</f>
        <v>0.9</v>
      </c>
      <c r="P28" s="11">
        <f t="shared" si="6"/>
        <v>2.1775529782608696</v>
      </c>
      <c r="Q28" s="11"/>
      <c r="R28" s="11"/>
      <c r="T28" s="4">
        <f t="shared" si="7"/>
        <v>0.61723901490198974</v>
      </c>
      <c r="U28" s="4">
        <f t="shared" si="8"/>
        <v>0.61723901490198974</v>
      </c>
    </row>
    <row r="29" spans="1:21" x14ac:dyDescent="0.2">
      <c r="B29" s="1">
        <f>[2]Feuil1!$A$11</f>
        <v>0.5</v>
      </c>
      <c r="C29" s="14">
        <f>[2]Feuil1!$B$11</f>
        <v>0.56666666666666665</v>
      </c>
      <c r="D29" s="13">
        <f>[2]Feuil1!$C$11</f>
        <v>2.7828173823529378E-2</v>
      </c>
      <c r="E29" s="13">
        <f>[2]Feuil1!$D$11</f>
        <v>9.2079229999999901E-2</v>
      </c>
      <c r="F29" s="13">
        <f>[2]Feuil1!$E$11</f>
        <v>0</v>
      </c>
      <c r="G29" s="13">
        <f>[2]Feuil1!$F$11</f>
        <v>3.0348435622436661E-2</v>
      </c>
      <c r="H29" s="13">
        <f>[2]Feuil1!$G$11</f>
        <v>3.9082092307692169</v>
      </c>
      <c r="I29" s="13">
        <f>[2]Feuil1!$H$11</f>
        <v>0.35316854846153806</v>
      </c>
      <c r="J29" s="13">
        <f>[2]Feuil1!$I$11</f>
        <v>0.81407076</v>
      </c>
      <c r="K29" s="13">
        <f>[2]Feuil1!$J$11</f>
        <v>0.117541599999999</v>
      </c>
      <c r="L29" s="13">
        <f>[2]Feuil1!$K$11</f>
        <v>0.19966604686999942</v>
      </c>
      <c r="M29" s="13">
        <f>[2]Feuil1!$L$11</f>
        <v>1.1248300000000002</v>
      </c>
      <c r="N29" s="13">
        <f>[2]Feuil1!$M$11</f>
        <v>60</v>
      </c>
      <c r="O29" s="14">
        <f>[2]Feuil1!$N$11</f>
        <v>0.6</v>
      </c>
      <c r="P29" s="11">
        <f t="shared" si="6"/>
        <v>2.7828173823529379</v>
      </c>
      <c r="Q29" s="11"/>
      <c r="R29" s="11"/>
      <c r="T29" s="4">
        <f t="shared" si="7"/>
        <v>0.76792137356108148</v>
      </c>
      <c r="U29" s="4">
        <f t="shared" si="8"/>
        <v>0.76792137356108148</v>
      </c>
    </row>
    <row r="30" spans="1:21" x14ac:dyDescent="0.2">
      <c r="B30" s="1">
        <f>[2]Feuil1!$A$12</f>
        <v>0.75</v>
      </c>
      <c r="C30" s="14">
        <f>[2]Feuil1!$B$12</f>
        <v>0.28333333333333333</v>
      </c>
      <c r="D30" s="13">
        <f>[2]Feuil1!$C$12</f>
        <v>4.0933915294117613E-2</v>
      </c>
      <c r="E30" s="13">
        <f>[2]Feuil1!$D$12</f>
        <v>9.2784809999999995E-2</v>
      </c>
      <c r="F30" s="13">
        <f>[2]Feuil1!$E$12</f>
        <v>5.0931999999999002E-3</v>
      </c>
      <c r="G30" s="13">
        <f>[2]Feuil1!$F$12</f>
        <v>3.0178273823241623E-2</v>
      </c>
      <c r="H30" s="13">
        <f>[2]Feuil1!$G$12</f>
        <v>2.573499999999965</v>
      </c>
      <c r="I30" s="13">
        <f>[2]Feuil1!$H$12</f>
        <v>0.49141149348837165</v>
      </c>
      <c r="J30" s="13">
        <f>[2]Feuil1!$I$12</f>
        <v>1.37071157999999</v>
      </c>
      <c r="K30" s="13">
        <f>[2]Feuil1!$J$12</f>
        <v>0.11733992</v>
      </c>
      <c r="L30" s="13">
        <f>[2]Feuil1!$K$12</f>
        <v>0.31023227764613642</v>
      </c>
      <c r="M30" s="13">
        <f>[2]Feuil1!$L$12</f>
        <v>1.022850000000004</v>
      </c>
      <c r="N30" s="13">
        <f>[2]Feuil1!$M$12</f>
        <v>60</v>
      </c>
      <c r="O30" s="14">
        <f>[2]Feuil1!$N$12</f>
        <v>6.6666666666666666E-2</v>
      </c>
      <c r="P30" s="11">
        <f t="shared" si="6"/>
        <v>4.0933915294117611</v>
      </c>
      <c r="Q30" s="11"/>
      <c r="R30" s="11"/>
      <c r="T30" s="4">
        <f t="shared" si="7"/>
        <v>0.76361568597338658</v>
      </c>
      <c r="U30" s="4">
        <f t="shared" si="8"/>
        <v>0.76361568597338658</v>
      </c>
    </row>
    <row r="31" spans="1:21" x14ac:dyDescent="0.2">
      <c r="B31" s="1">
        <f>[2]Feuil1!$A$13</f>
        <v>1</v>
      </c>
      <c r="C31" s="14" t="e">
        <f>[2]Feuil1!$B$13</f>
        <v>#DIV/0!</v>
      </c>
      <c r="D31" s="13" t="e">
        <f>[2]Feuil1!$C$13</f>
        <v>#DIV/0!</v>
      </c>
      <c r="E31" s="13">
        <f>[2]Feuil1!$D$13</f>
        <v>0</v>
      </c>
      <c r="F31" s="13">
        <f>[2]Feuil1!$E$13</f>
        <v>0</v>
      </c>
      <c r="G31" s="13" t="e">
        <f>[2]Feuil1!$F$13</f>
        <v>#DIV/0!</v>
      </c>
      <c r="H31" s="13" t="e">
        <f>[2]Feuil1!$G$13</f>
        <v>#DIV/0!</v>
      </c>
      <c r="I31" s="13" t="e">
        <f>[2]Feuil1!$H$13</f>
        <v>#DIV/0!</v>
      </c>
      <c r="J31" s="13">
        <f>[2]Feuil1!$I$13</f>
        <v>0</v>
      </c>
      <c r="K31" s="13">
        <f>[2]Feuil1!$J$13</f>
        <v>0</v>
      </c>
      <c r="L31" s="13" t="e">
        <f>[2]Feuil1!$K$13</f>
        <v>#DIV/0!</v>
      </c>
      <c r="M31" s="13" t="e">
        <f>[2]Feuil1!$L$13</f>
        <v>#DIV/0!</v>
      </c>
      <c r="N31" s="13">
        <f>[2]Feuil1!$M$13</f>
        <v>0</v>
      </c>
      <c r="O31" s="14" t="e">
        <f>[2]Feuil1!$N$13</f>
        <v>#VALUE!</v>
      </c>
      <c r="P31" s="11" t="e">
        <f t="shared" ref="P31" si="9">D31*100</f>
        <v>#DIV/0!</v>
      </c>
      <c r="Q31" s="11"/>
      <c r="R31" s="11"/>
      <c r="T31" s="4" t="e">
        <f t="shared" ref="T31" si="10" xml:space="preserve"> 1.96 * (G31*100)/SQRT(N31)</f>
        <v>#DIV/0!</v>
      </c>
      <c r="U31" s="4" t="e">
        <f t="shared" ref="U31" si="11">1.96 * (G31*100)/SQRT(N31)</f>
        <v>#DIV/0!</v>
      </c>
    </row>
    <row r="32" spans="1:2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22" x14ac:dyDescent="0.2">
      <c r="A33" t="s">
        <v>16</v>
      </c>
      <c r="B33" s="1" t="str">
        <f>[3]Feuil1!$A$1</f>
        <v>ContribDistance</v>
      </c>
      <c r="C33" s="1" t="str">
        <f>[3]Feuil1!$B$1</f>
        <v>Average Success</v>
      </c>
      <c r="D33" s="1" t="str">
        <f>[3]Feuil1!$C$1</f>
        <v>Average Distance Success</v>
      </c>
      <c r="E33" s="1" t="str">
        <f>[3]Feuil1!$D$1</f>
        <v>Max Distance Success</v>
      </c>
      <c r="F33" s="1" t="str">
        <f>[3]Feuil1!$E$1</f>
        <v>Min Distance Success</v>
      </c>
      <c r="G33" s="1">
        <f>[3]Feuil1!F17</f>
        <v>0</v>
      </c>
      <c r="H33" s="1" t="str">
        <f>[3]Feuil1!$G$1</f>
        <v>Time Known Success</v>
      </c>
      <c r="I33" s="1" t="str">
        <f>[3]Feuil1!$H$1</f>
        <v>Average Distance Failure</v>
      </c>
      <c r="J33" s="1" t="str">
        <f>[3]Feuil1!$I$1</f>
        <v>Max Distance Failure</v>
      </c>
      <c r="K33" s="1" t="str">
        <f>[3]Feuil1!$J$1</f>
        <v>Min Distance Failure</v>
      </c>
      <c r="L33" s="1" t="str">
        <f>[3]Feuil1!$K$1</f>
        <v>Std Distance Failure</v>
      </c>
      <c r="M33" s="1" t="str">
        <f>[3]Feuil1!$L$1</f>
        <v>Time Known Failure</v>
      </c>
      <c r="N33" s="1" t="str">
        <f>[3]Feuil1!$M$1</f>
        <v>Total Targets</v>
      </c>
      <c r="O33" s="1" t="str">
        <f>[3]Feuil1!$N$1</f>
        <v>%Weight1</v>
      </c>
      <c r="P33" s="2"/>
      <c r="Q33" s="2"/>
      <c r="R33" s="2"/>
      <c r="T33" s="2" t="s">
        <v>20</v>
      </c>
      <c r="U33" s="2" t="s">
        <v>21</v>
      </c>
    </row>
    <row r="34" spans="1:22" x14ac:dyDescent="0.2">
      <c r="B34" s="1">
        <f>[3]Feuil1!$A$2</f>
        <v>0</v>
      </c>
      <c r="C34" s="14">
        <f>[3]Feuil1!$B$2</f>
        <v>0.71666666666666667</v>
      </c>
      <c r="D34" s="13">
        <f>[3]Feuil1!$C$2</f>
        <v>2.1604057209302328E-2</v>
      </c>
      <c r="E34" s="13">
        <f>[3]Feuil1!$D$2</f>
        <v>9.4593239999999898E-2</v>
      </c>
      <c r="F34" s="13">
        <f>[3]Feuil1!$E$2</f>
        <v>1.0748999999998701E-4</v>
      </c>
      <c r="G34" s="13">
        <f>[3]Feuil1!$F$2</f>
        <v>2.4279347366132704E-2</v>
      </c>
      <c r="H34" s="13">
        <f>[3]Feuil1!$G$2</f>
        <v>6.8859429268292525</v>
      </c>
      <c r="I34" s="13">
        <f>[3]Feuil1!$H$2</f>
        <v>0.32666545352941145</v>
      </c>
      <c r="J34" s="13">
        <f>[3]Feuil1!$I$2</f>
        <v>0.90489719999999996</v>
      </c>
      <c r="K34" s="13">
        <f>[3]Feuil1!$J$2</f>
        <v>0.10866368999999999</v>
      </c>
      <c r="L34" s="13">
        <f>[3]Feuil1!$K$2</f>
        <v>0.24589923452737872</v>
      </c>
      <c r="M34" s="13">
        <f>[3]Feuil1!$L$2</f>
        <v>4.0570458823529307</v>
      </c>
      <c r="N34" s="13">
        <f>[3]Feuil1!$M$2</f>
        <v>60</v>
      </c>
      <c r="O34" s="14">
        <f>[3]Feuil1!$N$2</f>
        <v>0.96666666666666667</v>
      </c>
      <c r="P34" s="11">
        <f t="shared" ref="P34:P46" si="12">D34*100</f>
        <v>2.1604057209302328</v>
      </c>
      <c r="Q34" s="11"/>
      <c r="R34" s="11"/>
      <c r="T34" s="4">
        <f t="shared" ref="T34:T46" si="13" xml:space="preserve"> 1.96 * (G34*100)/SQRT(N34)</f>
        <v>0.61435225230467028</v>
      </c>
      <c r="U34" s="4">
        <f t="shared" ref="U34:U46" si="14">1.96 * (G34*100)/SQRT(N34)</f>
        <v>0.61435225230467028</v>
      </c>
    </row>
    <row r="35" spans="1:22" x14ac:dyDescent="0.2">
      <c r="B35" s="1">
        <f>[3]Feuil1!$A$3</f>
        <v>0.05</v>
      </c>
      <c r="C35" s="14">
        <f>[3]Feuil1!$B$3</f>
        <v>0.76666666666666672</v>
      </c>
      <c r="D35" s="13">
        <f>[3]Feuil1!$C$3</f>
        <v>2.2751143913043472E-2</v>
      </c>
      <c r="E35" s="13">
        <f>[3]Feuil1!$D$3</f>
        <v>8.7825749999999994E-2</v>
      </c>
      <c r="F35" s="13">
        <f>[3]Feuil1!$E$3</f>
        <v>2.5423999999984998E-4</v>
      </c>
      <c r="G35" s="13">
        <f>[3]Feuil1!$F$3</f>
        <v>2.483662705355209E-2</v>
      </c>
      <c r="H35" s="13">
        <f>[3]Feuil1!$G$3</f>
        <v>6.2376772727272733</v>
      </c>
      <c r="I35" s="13">
        <f>[3]Feuil1!$H$3</f>
        <v>0.35820699428571412</v>
      </c>
      <c r="J35" s="13">
        <f>[3]Feuil1!$I$3</f>
        <v>0.90440474999999998</v>
      </c>
      <c r="K35" s="13">
        <f>[3]Feuil1!$J$3</f>
        <v>0.10762788</v>
      </c>
      <c r="L35" s="13">
        <f>[3]Feuil1!$K$3</f>
        <v>0.25715081677838142</v>
      </c>
      <c r="M35" s="13">
        <f>[3]Feuil1!$L$3</f>
        <v>4.5900846153846642</v>
      </c>
      <c r="N35" s="13">
        <f>[3]Feuil1!$M$3</f>
        <v>60</v>
      </c>
      <c r="O35" s="14">
        <f>[3]Feuil1!$N$3</f>
        <v>0.95</v>
      </c>
      <c r="P35" s="11">
        <f t="shared" si="12"/>
        <v>2.275114391304347</v>
      </c>
      <c r="Q35" s="11"/>
      <c r="R35" s="11"/>
      <c r="T35" s="4">
        <f t="shared" si="13"/>
        <v>0.62845337396856271</v>
      </c>
      <c r="U35" s="4">
        <f t="shared" si="14"/>
        <v>0.62845337396856271</v>
      </c>
    </row>
    <row r="36" spans="1:22" x14ac:dyDescent="0.2">
      <c r="B36" s="1">
        <f>[3]Feuil1!$A$4</f>
        <v>0.1</v>
      </c>
      <c r="C36" s="14">
        <f>[3]Feuil1!$B$4</f>
        <v>0.8</v>
      </c>
      <c r="D36" s="13">
        <f>[3]Feuil1!$C$4</f>
        <v>2.3755551458333333E-2</v>
      </c>
      <c r="E36" s="13">
        <f>[3]Feuil1!$D$4</f>
        <v>8.3384150000000101E-2</v>
      </c>
      <c r="F36" s="13">
        <f>[3]Feuil1!$E$4</f>
        <v>8.0432000000007998E-4</v>
      </c>
      <c r="G36" s="13">
        <f>[3]Feuil1!$F$4</f>
        <v>2.4964296068511527E-2</v>
      </c>
      <c r="H36" s="13">
        <f>[3]Feuil1!$G$4</f>
        <v>6.4990822222221833</v>
      </c>
      <c r="I36" s="13">
        <f>[3]Feuil1!$H$4</f>
        <v>0.3767738116666664</v>
      </c>
      <c r="J36" s="13">
        <f>[3]Feuil1!$I$4</f>
        <v>0.88639630999999997</v>
      </c>
      <c r="K36" s="13">
        <f>[3]Feuil1!$J$4</f>
        <v>0.10718743999999999</v>
      </c>
      <c r="L36" s="13">
        <f>[3]Feuil1!$K$4</f>
        <v>0.26479737949410348</v>
      </c>
      <c r="M36" s="13">
        <f>[3]Feuil1!$L$4</f>
        <v>4.6002166666666602</v>
      </c>
      <c r="N36" s="13">
        <f>[3]Feuil1!$M$4</f>
        <v>60</v>
      </c>
      <c r="O36" s="14">
        <f>[3]Feuil1!$N$4</f>
        <v>0.95</v>
      </c>
      <c r="P36" s="11">
        <f t="shared" si="12"/>
        <v>2.3755551458333333</v>
      </c>
      <c r="Q36" s="11"/>
      <c r="R36" s="11"/>
      <c r="T36" s="4">
        <f t="shared" si="13"/>
        <v>0.63168384576449133</v>
      </c>
      <c r="U36" s="4">
        <f t="shared" si="14"/>
        <v>0.63168384576449133</v>
      </c>
    </row>
    <row r="37" spans="1:22" x14ac:dyDescent="0.2">
      <c r="B37" s="1">
        <f>[3]Feuil1!$A$5</f>
        <v>0.15</v>
      </c>
      <c r="C37" s="14">
        <f>[3]Feuil1!$B$5</f>
        <v>0.83333333333333337</v>
      </c>
      <c r="D37" s="13">
        <f>[3]Feuil1!$C$5</f>
        <v>2.4145322399999967E-2</v>
      </c>
      <c r="E37" s="13">
        <f>[3]Feuil1!$D$5</f>
        <v>9.4952069999999902E-2</v>
      </c>
      <c r="F37" s="13">
        <f>[3]Feuil1!$E$5</f>
        <v>3.82639999999989E-4</v>
      </c>
      <c r="G37" s="13">
        <f>[3]Feuil1!$F$5</f>
        <v>2.5293662777804097E-2</v>
      </c>
      <c r="H37" s="13">
        <f>[3]Feuil1!$G$5</f>
        <v>6.0831489361702191</v>
      </c>
      <c r="I37" s="13">
        <f>[3]Feuil1!$H$5</f>
        <v>0.4083687929999994</v>
      </c>
      <c r="J37" s="13">
        <f>[3]Feuil1!$I$5</f>
        <v>0.88841793999999896</v>
      </c>
      <c r="K37" s="13">
        <f>[3]Feuil1!$J$5</f>
        <v>0.10763917000000001</v>
      </c>
      <c r="L37" s="13">
        <f>[3]Feuil1!$K$5</f>
        <v>0.2631143984206058</v>
      </c>
      <c r="M37" s="13">
        <f>[3]Feuil1!$L$5</f>
        <v>4.5408999999998434</v>
      </c>
      <c r="N37" s="13">
        <f>[3]Feuil1!$M$5</f>
        <v>60</v>
      </c>
      <c r="O37" s="14">
        <f>[3]Feuil1!$N$5</f>
        <v>0.95</v>
      </c>
      <c r="P37" s="11">
        <f t="shared" si="12"/>
        <v>2.4145322399999967</v>
      </c>
      <c r="Q37" s="11"/>
      <c r="R37" s="11"/>
      <c r="T37" s="4">
        <f t="shared" si="13"/>
        <v>0.64001797339307509</v>
      </c>
      <c r="U37" s="4">
        <f t="shared" si="14"/>
        <v>0.64001797339307509</v>
      </c>
    </row>
    <row r="38" spans="1:22" x14ac:dyDescent="0.2">
      <c r="B38" s="1">
        <f>[3]Feuil1!$A$14</f>
        <v>0.17499999999999999</v>
      </c>
      <c r="C38" s="14">
        <f>[3]Feuil1!$B$14</f>
        <v>0.81666666666666665</v>
      </c>
      <c r="D38" s="13">
        <f>[3]Feuil1!$C$14</f>
        <v>2.3454798367346909E-2</v>
      </c>
      <c r="E38" s="13">
        <f>[3]Feuil1!$D$14</f>
        <v>8.4862599999999899E-2</v>
      </c>
      <c r="F38" s="13">
        <f>[3]Feuil1!$E$14</f>
        <v>3.09599999999999E-5</v>
      </c>
      <c r="G38" s="13">
        <f>[3]Feuil1!$F$14</f>
        <v>2.2057729443549477E-2</v>
      </c>
      <c r="H38" s="13">
        <f>[3]Feuil1!$G$14</f>
        <v>6.9776186956521693</v>
      </c>
      <c r="I38" s="13">
        <f>[3]Feuil1!$H$14</f>
        <v>0.32587840727272704</v>
      </c>
      <c r="J38" s="13">
        <f>[3]Feuil1!$I$14</f>
        <v>0.88825354999999995</v>
      </c>
      <c r="K38" s="13">
        <f>[3]Feuil1!$J$14</f>
        <v>0.10755906</v>
      </c>
      <c r="L38" s="13">
        <f>[3]Feuil1!$K$14</f>
        <v>0.23561643250234132</v>
      </c>
      <c r="M38" s="13">
        <f>[3]Feuil1!$L$14</f>
        <v>5.280845454545454</v>
      </c>
      <c r="N38" s="13">
        <f>[3]Feuil1!$M$14</f>
        <v>60</v>
      </c>
      <c r="O38" s="14">
        <f>[3]Feuil1!$N$14</f>
        <v>0.95</v>
      </c>
      <c r="P38" s="11">
        <f t="shared" si="12"/>
        <v>2.345479836734691</v>
      </c>
      <c r="Q38" s="11"/>
      <c r="R38" s="11"/>
      <c r="T38" s="4">
        <f t="shared" si="13"/>
        <v>0.55813756276143855</v>
      </c>
      <c r="U38" s="4">
        <f t="shared" si="14"/>
        <v>0.55813756276143855</v>
      </c>
    </row>
    <row r="39" spans="1:22" x14ac:dyDescent="0.2">
      <c r="B39" s="1">
        <f>[3]Feuil1!$A$6</f>
        <v>0.2</v>
      </c>
      <c r="C39" s="14">
        <f>[3]Feuil1!$B$6</f>
        <v>0.81666666666666665</v>
      </c>
      <c r="D39" s="13">
        <f>[3]Feuil1!$C$6</f>
        <v>2.3729236938775478E-2</v>
      </c>
      <c r="E39" s="13">
        <f>[3]Feuil1!$D$6</f>
        <v>8.8004639999999801E-2</v>
      </c>
      <c r="F39" s="13">
        <f>[3]Feuil1!$E$6</f>
        <v>2.02469999999999E-4</v>
      </c>
      <c r="G39" s="13">
        <f>[3]Feuil1!$F$6</f>
        <v>2.2210356547285232E-2</v>
      </c>
      <c r="H39" s="13">
        <f>[3]Feuil1!$G$6</f>
        <v>6.9404347826087003</v>
      </c>
      <c r="I39" s="13">
        <f>[3]Feuil1!$H$6</f>
        <v>0.30496500818181765</v>
      </c>
      <c r="J39" s="13">
        <f>[3]Feuil1!$I$6</f>
        <v>0.88409514999999905</v>
      </c>
      <c r="K39" s="13">
        <f>[3]Feuil1!$J$6</f>
        <v>0.10780461</v>
      </c>
      <c r="L39" s="13">
        <f>[3]Feuil1!$K$6</f>
        <v>0.22096690612354297</v>
      </c>
      <c r="M39" s="13">
        <f>[3]Feuil1!$L$6</f>
        <v>5.0950272727272585</v>
      </c>
      <c r="N39" s="13">
        <f>[3]Feuil1!$M$6</f>
        <v>60</v>
      </c>
      <c r="O39" s="14">
        <f>[3]Feuil1!$N$6</f>
        <v>0.95</v>
      </c>
      <c r="P39" s="11">
        <f t="shared" si="12"/>
        <v>2.372923693877548</v>
      </c>
      <c r="Q39" s="11"/>
      <c r="R39" s="11"/>
      <c r="T39" s="4">
        <f t="shared" si="13"/>
        <v>0.56199956133696838</v>
      </c>
      <c r="U39" s="4">
        <f t="shared" si="14"/>
        <v>0.56199956133696838</v>
      </c>
      <c r="V39">
        <f>0.8*300</f>
        <v>240</v>
      </c>
    </row>
    <row r="40" spans="1:22" x14ac:dyDescent="0.2">
      <c r="B40" s="1">
        <f>[3]Feuil1!$A$15</f>
        <v>0.22500000000000001</v>
      </c>
      <c r="C40" s="14">
        <f>[3]Feuil1!$B$15</f>
        <v>0.83333333333333337</v>
      </c>
      <c r="D40" s="13">
        <f>[3]Feuil1!$C$15</f>
        <v>2.5025541799999974E-2</v>
      </c>
      <c r="E40" s="13">
        <f>[3]Feuil1!$D$15</f>
        <v>9.70992400000001E-2</v>
      </c>
      <c r="F40" s="13">
        <f>[3]Feuil1!$E$15</f>
        <v>3.5904000000008801E-4</v>
      </c>
      <c r="G40" s="13">
        <f>[3]Feuil1!$F$15</f>
        <v>2.3469579113521974E-2</v>
      </c>
      <c r="H40" s="13">
        <f>[3]Feuil1!$G$15</f>
        <v>7.6888478260869357</v>
      </c>
      <c r="I40" s="13">
        <f>[3]Feuil1!$H$15</f>
        <v>0.28968858799999969</v>
      </c>
      <c r="J40" s="13">
        <f>[3]Feuil1!$I$15</f>
        <v>0.87784814999999905</v>
      </c>
      <c r="K40" s="13">
        <f>[3]Feuil1!$J$15</f>
        <v>0.10771993000000001</v>
      </c>
      <c r="L40" s="13">
        <f>[3]Feuil1!$K$15</f>
        <v>0.23196198326297296</v>
      </c>
      <c r="M40" s="13">
        <f>[3]Feuil1!$L$15</f>
        <v>5.1643599999999266</v>
      </c>
      <c r="N40" s="13">
        <f>[3]Feuil1!$M$15</f>
        <v>60</v>
      </c>
      <c r="O40" s="14">
        <f>[3]Feuil1!$N$15</f>
        <v>0.93333333333333335</v>
      </c>
      <c r="P40" s="11">
        <f t="shared" si="12"/>
        <v>2.5025541799999975</v>
      </c>
      <c r="Q40" s="11"/>
      <c r="R40" s="11"/>
      <c r="T40" s="4">
        <f t="shared" si="13"/>
        <v>0.59386228845456446</v>
      </c>
      <c r="U40" s="4">
        <f t="shared" si="14"/>
        <v>0.59386228845456446</v>
      </c>
    </row>
    <row r="41" spans="1:22" x14ac:dyDescent="0.2">
      <c r="B41" s="1">
        <f>[3]Feuil1!$A$7</f>
        <v>0.25</v>
      </c>
      <c r="C41" s="14">
        <f>[3]Feuil1!$B$7</f>
        <v>0.81666666666666665</v>
      </c>
      <c r="D41" s="13">
        <f>[3]Feuil1!$C$7</f>
        <v>2.1229984081632625E-2</v>
      </c>
      <c r="E41" s="13">
        <f>[3]Feuil1!$D$7</f>
        <v>8.6917439999999901E-2</v>
      </c>
      <c r="F41" s="13">
        <f>[3]Feuil1!$E$7</f>
        <v>3.90079999999987E-4</v>
      </c>
      <c r="G41" s="13">
        <f>[3]Feuil1!$F$7</f>
        <v>2.1086337944109385E-2</v>
      </c>
      <c r="H41" s="13">
        <f>[3]Feuil1!$G$7</f>
        <v>9.6793863636363042</v>
      </c>
      <c r="I41" s="13">
        <f>[3]Feuil1!$H$7</f>
        <v>0.40782384090909046</v>
      </c>
      <c r="J41" s="13">
        <f>[3]Feuil1!$I$7</f>
        <v>0.89270015999999996</v>
      </c>
      <c r="K41" s="13">
        <f>[3]Feuil1!$J$7</f>
        <v>0.10837929</v>
      </c>
      <c r="L41" s="13">
        <f>[3]Feuil1!$K$7</f>
        <v>0.25784734882064725</v>
      </c>
      <c r="M41" s="13">
        <f>[3]Feuil1!$L$7</f>
        <v>4.1700000000001136</v>
      </c>
      <c r="N41" s="13">
        <f>[3]Feuil1!$M$7</f>
        <v>60</v>
      </c>
      <c r="O41" s="14">
        <f>[3]Feuil1!$N$7</f>
        <v>0.9</v>
      </c>
      <c r="P41" s="11">
        <f t="shared" si="12"/>
        <v>2.1229984081632622</v>
      </c>
      <c r="Q41" s="11"/>
      <c r="R41" s="11"/>
      <c r="T41" s="4">
        <f t="shared" si="13"/>
        <v>0.53355796650824305</v>
      </c>
      <c r="U41" s="4">
        <f t="shared" si="14"/>
        <v>0.53355796650824305</v>
      </c>
    </row>
    <row r="42" spans="1:22" x14ac:dyDescent="0.2">
      <c r="B42" s="1">
        <f>[3]Feuil1!$A$8</f>
        <v>0.3</v>
      </c>
      <c r="C42" s="14">
        <f>[3]Feuil1!$B$8</f>
        <v>0.81666666666666665</v>
      </c>
      <c r="D42" s="13">
        <f>[3]Feuil1!$C$8</f>
        <v>2.5245185918367326E-2</v>
      </c>
      <c r="E42" s="13">
        <f>[3]Feuil1!$D$8</f>
        <v>9.47183999999998E-2</v>
      </c>
      <c r="F42" s="13">
        <f>[3]Feuil1!$E$8</f>
        <v>2.4806999999993303E-4</v>
      </c>
      <c r="G42" s="13">
        <f>[3]Feuil1!$F$8</f>
        <v>2.5465210940372109E-2</v>
      </c>
      <c r="H42" s="13">
        <f>[3]Feuil1!$G$8</f>
        <v>5.4424434090908882</v>
      </c>
      <c r="I42" s="13">
        <f>[3]Feuil1!$H$8</f>
        <v>0.42584106909090896</v>
      </c>
      <c r="J42" s="13">
        <f>[3]Feuil1!$I$8</f>
        <v>0.896786799999999</v>
      </c>
      <c r="K42" s="13">
        <f>[3]Feuil1!$J$8</f>
        <v>0.10767957</v>
      </c>
      <c r="L42" s="13">
        <f>[3]Feuil1!$K$8</f>
        <v>0.2719599411531764</v>
      </c>
      <c r="M42" s="13">
        <f>[3]Feuil1!$L$8</f>
        <v>2.6015000000001658</v>
      </c>
      <c r="N42" s="13">
        <f>[3]Feuil1!$M$8</f>
        <v>60</v>
      </c>
      <c r="O42" s="14">
        <f>[3]Feuil1!$N$8</f>
        <v>0.9</v>
      </c>
      <c r="P42" s="11">
        <f t="shared" si="12"/>
        <v>2.5245185918367326</v>
      </c>
      <c r="Q42" s="11"/>
      <c r="R42" s="11"/>
      <c r="T42" s="4">
        <f t="shared" si="13"/>
        <v>0.64435874081417122</v>
      </c>
      <c r="U42" s="4">
        <f t="shared" si="14"/>
        <v>0.64435874081417122</v>
      </c>
    </row>
    <row r="43" spans="1:22" x14ac:dyDescent="0.2">
      <c r="B43" s="1">
        <f>[3]Feuil1!$A$9</f>
        <v>0.35</v>
      </c>
      <c r="C43" s="14">
        <f>[3]Feuil1!$B$9</f>
        <v>0.71666666666666667</v>
      </c>
      <c r="D43" s="13">
        <f>[3]Feuil1!$C$9</f>
        <v>2.4338689069767442E-2</v>
      </c>
      <c r="E43" s="13">
        <f>[3]Feuil1!$D$9</f>
        <v>8.4620799999999899E-2</v>
      </c>
      <c r="F43" s="13">
        <f>[3]Feuil1!$E$9</f>
        <v>1.02476999999989E-3</v>
      </c>
      <c r="G43" s="13">
        <f>[3]Feuil1!$F$9</f>
        <v>2.2342942695671136E-2</v>
      </c>
      <c r="H43" s="13">
        <f>[3]Feuil1!$G$9</f>
        <v>5.1176864864865168</v>
      </c>
      <c r="I43" s="13">
        <f>[3]Feuil1!$H$9</f>
        <v>0.3560883935294113</v>
      </c>
      <c r="J43" s="13">
        <f>[3]Feuil1!$I$9</f>
        <v>0.94616604000000004</v>
      </c>
      <c r="K43" s="13">
        <f>[3]Feuil1!$J$9</f>
        <v>0.10635453</v>
      </c>
      <c r="L43" s="13">
        <f>[3]Feuil1!$K$9</f>
        <v>0.24823552137585531</v>
      </c>
      <c r="M43" s="13">
        <f>[3]Feuil1!$L$9</f>
        <v>2.2322666666666624</v>
      </c>
      <c r="N43" s="13">
        <f>[3]Feuil1!$M$9</f>
        <v>60</v>
      </c>
      <c r="O43" s="14">
        <f>[3]Feuil1!$N$9</f>
        <v>0.8666666666666667</v>
      </c>
      <c r="P43" s="11">
        <f t="shared" si="12"/>
        <v>2.4338689069767443</v>
      </c>
      <c r="Q43" s="11"/>
      <c r="R43" s="11"/>
      <c r="T43" s="4">
        <f t="shared" si="13"/>
        <v>0.56535445377525961</v>
      </c>
      <c r="U43" s="4">
        <f t="shared" si="14"/>
        <v>0.56535445377525961</v>
      </c>
    </row>
    <row r="44" spans="1:22" x14ac:dyDescent="0.2">
      <c r="B44" s="1">
        <f>[3]Feuil1!$A$10</f>
        <v>0.4</v>
      </c>
      <c r="C44" s="14">
        <f>[3]Feuil1!$B$10</f>
        <v>0.6166666666666667</v>
      </c>
      <c r="D44" s="13">
        <f>[3]Feuil1!$C$10</f>
        <v>2.0844605405405413E-2</v>
      </c>
      <c r="E44" s="13">
        <f>[3]Feuil1!$D$10</f>
        <v>8.2053680000000004E-2</v>
      </c>
      <c r="F44" s="13">
        <f>[3]Feuil1!$E$10</f>
        <v>3.57730000000056E-4</v>
      </c>
      <c r="G44" s="13">
        <f>[3]Feuil1!$F$10</f>
        <v>2.2909776215624813E-2</v>
      </c>
      <c r="H44" s="13">
        <f>[3]Feuil1!$G$10</f>
        <v>4.2018125000000417</v>
      </c>
      <c r="I44" s="13">
        <f>[3]Feuil1!$H$10</f>
        <v>0.32454913999999951</v>
      </c>
      <c r="J44" s="13">
        <f>[3]Feuil1!$I$10</f>
        <v>0.93283134999999995</v>
      </c>
      <c r="K44" s="13">
        <f>[3]Feuil1!$J$10</f>
        <v>0.10307143000000001</v>
      </c>
      <c r="L44" s="13">
        <f>[3]Feuil1!$K$10</f>
        <v>0.24870580072069617</v>
      </c>
      <c r="M44" s="13">
        <f>[3]Feuil1!$L$10</f>
        <v>1.7096875000000553</v>
      </c>
      <c r="N44" s="13">
        <f>[3]Feuil1!$M$10</f>
        <v>60</v>
      </c>
      <c r="O44" s="14">
        <f>[3]Feuil1!$N$10</f>
        <v>0.8</v>
      </c>
      <c r="P44" s="11">
        <f t="shared" si="12"/>
        <v>2.0844605405405412</v>
      </c>
      <c r="Q44" s="11"/>
      <c r="R44" s="11"/>
      <c r="T44" s="4">
        <f t="shared" si="13"/>
        <v>0.57969732075656411</v>
      </c>
      <c r="U44" s="4">
        <f t="shared" si="14"/>
        <v>0.57969732075656411</v>
      </c>
    </row>
    <row r="45" spans="1:22" x14ac:dyDescent="0.2">
      <c r="B45" s="1">
        <f>[3]Feuil1!$A$11</f>
        <v>0.5</v>
      </c>
      <c r="C45" s="14">
        <f>[3]Feuil1!$B$11</f>
        <v>0.46666666666666667</v>
      </c>
      <c r="D45" s="13">
        <f>[3]Feuil1!$C$11</f>
        <v>3.1293230714285705E-2</v>
      </c>
      <c r="E45" s="13">
        <f>[3]Feuil1!$D$11</f>
        <v>9.5020629999999995E-2</v>
      </c>
      <c r="F45" s="13">
        <f>[3]Feuil1!$E$11</f>
        <v>0</v>
      </c>
      <c r="G45" s="13">
        <f>[3]Feuil1!$F$11</f>
        <v>3.1031753895526711E-2</v>
      </c>
      <c r="H45" s="13">
        <f>[3]Feuil1!$G$11</f>
        <v>3.3545724999999962</v>
      </c>
      <c r="I45" s="13">
        <f>[3]Feuil1!$H$11</f>
        <v>0.39455248031249918</v>
      </c>
      <c r="J45" s="13">
        <f>[3]Feuil1!$I$11</f>
        <v>1.2823850399999901</v>
      </c>
      <c r="K45" s="13">
        <f>[3]Feuil1!$J$11</f>
        <v>0.10361972999999899</v>
      </c>
      <c r="L45" s="13">
        <f>[3]Feuil1!$K$11</f>
        <v>0.33749910411191686</v>
      </c>
      <c r="M45" s="13">
        <f>[3]Feuil1!$L$11</f>
        <v>1.9451328571428526</v>
      </c>
      <c r="N45" s="13">
        <f>[3]Feuil1!$M$11</f>
        <v>60</v>
      </c>
      <c r="O45" s="14">
        <f>[3]Feuil1!$N$11</f>
        <v>0.56666666666666665</v>
      </c>
      <c r="P45" s="11">
        <f t="shared" si="12"/>
        <v>3.1293230714285705</v>
      </c>
      <c r="Q45" s="11"/>
      <c r="R45" s="11"/>
      <c r="T45" s="4">
        <f t="shared" si="13"/>
        <v>0.7852117114677496</v>
      </c>
      <c r="U45" s="4">
        <f t="shared" si="14"/>
        <v>0.7852117114677496</v>
      </c>
    </row>
    <row r="46" spans="1:22" x14ac:dyDescent="0.2">
      <c r="B46" s="1">
        <f>[3]Feuil1!$A$12</f>
        <v>0.75</v>
      </c>
      <c r="C46" s="14">
        <f>[3]Feuil1!$B$12</f>
        <v>0.15</v>
      </c>
      <c r="D46" s="13">
        <f>[3]Feuil1!$C$12</f>
        <v>4.4968891111111103E-2</v>
      </c>
      <c r="E46" s="13">
        <f>[3]Feuil1!$D$12</f>
        <v>9.5530109999999904E-2</v>
      </c>
      <c r="F46" s="13">
        <f>[3]Feuil1!$E$12</f>
        <v>5.1373400000000397E-3</v>
      </c>
      <c r="G46" s="13">
        <f>[3]Feuil1!$F$12</f>
        <v>3.4164632317396762E-2</v>
      </c>
      <c r="H46" s="13" t="e">
        <f>[3]Feuil1!$G$12</f>
        <v>#DIV/0!</v>
      </c>
      <c r="I46" s="13">
        <f>[3]Feuil1!$H$12</f>
        <v>0.49781510490195996</v>
      </c>
      <c r="J46" s="13">
        <f>[3]Feuil1!$I$12</f>
        <v>1.50122215999999</v>
      </c>
      <c r="K46" s="13">
        <f>[3]Feuil1!$J$12</f>
        <v>0.11496185</v>
      </c>
      <c r="L46" s="13">
        <f>[3]Feuil1!$K$12</f>
        <v>0.36061742064909852</v>
      </c>
      <c r="M46" s="13">
        <f>[3]Feuil1!$L$12</f>
        <v>1.1452500000000296</v>
      </c>
      <c r="N46" s="13">
        <f>[3]Feuil1!$M$12</f>
        <v>60</v>
      </c>
      <c r="O46" s="14">
        <f>[3]Feuil1!$N$12</f>
        <v>6.6666666666666666E-2</v>
      </c>
      <c r="P46" s="11">
        <f t="shared" si="12"/>
        <v>4.49688911111111</v>
      </c>
      <c r="Q46" s="11"/>
      <c r="R46" s="11"/>
      <c r="T46" s="4">
        <f t="shared" si="13"/>
        <v>0.86448447303123876</v>
      </c>
      <c r="U46" s="4">
        <f t="shared" si="14"/>
        <v>0.86448447303123876</v>
      </c>
    </row>
    <row r="47" spans="1:22" x14ac:dyDescent="0.2">
      <c r="B47" s="1">
        <f>[3]Feuil1!$A$13</f>
        <v>1</v>
      </c>
      <c r="C47" s="14" t="e">
        <f>[3]Feuil1!$B$13</f>
        <v>#DIV/0!</v>
      </c>
      <c r="D47" s="13" t="e">
        <f>[3]Feuil1!$C$13</f>
        <v>#DIV/0!</v>
      </c>
      <c r="E47" s="13">
        <f>[3]Feuil1!$D$13</f>
        <v>0</v>
      </c>
      <c r="F47" s="13">
        <f>[3]Feuil1!$E$13</f>
        <v>0</v>
      </c>
      <c r="G47" s="13" t="e">
        <f>[3]Feuil1!$F$13</f>
        <v>#DIV/0!</v>
      </c>
      <c r="H47" s="13" t="e">
        <f>[3]Feuil1!$G$13</f>
        <v>#DIV/0!</v>
      </c>
      <c r="I47" s="13" t="e">
        <f>[3]Feuil1!$H$13</f>
        <v>#DIV/0!</v>
      </c>
      <c r="J47" s="13">
        <f>[3]Feuil1!$I$13</f>
        <v>0</v>
      </c>
      <c r="K47" s="13">
        <f>[3]Feuil1!$J$13</f>
        <v>0</v>
      </c>
      <c r="L47" s="13" t="e">
        <f>[3]Feuil1!$K$13</f>
        <v>#DIV/0!</v>
      </c>
      <c r="M47" s="13" t="e">
        <f>[3]Feuil1!$L$13</f>
        <v>#DIV/0!</v>
      </c>
      <c r="N47" s="13">
        <f>[3]Feuil1!$M$13</f>
        <v>0</v>
      </c>
      <c r="O47" s="14" t="e">
        <f>[3]Feuil1!$N$13</f>
        <v>#VALUE!</v>
      </c>
      <c r="P47" s="11" t="e">
        <f t="shared" ref="P47" si="15">D47*100</f>
        <v>#DIV/0!</v>
      </c>
      <c r="Q47" s="11"/>
      <c r="R47" s="11"/>
      <c r="T47" s="4" t="e">
        <f t="shared" ref="T47" si="16" xml:space="preserve"> 1.96 * (G47*100)/SQRT(N47)</f>
        <v>#DIV/0!</v>
      </c>
      <c r="U47" s="4" t="e">
        <f t="shared" ref="U47" si="17">1.96 * (G47*100)/SQRT(N47)</f>
        <v>#DIV/0!</v>
      </c>
    </row>
    <row r="49" spans="1:23" x14ac:dyDescent="0.2">
      <c r="A49" t="s">
        <v>17</v>
      </c>
      <c r="B49" s="1" t="str">
        <f>[4]Feuil1!$A$1</f>
        <v>ContribDistance</v>
      </c>
      <c r="C49" s="1" t="str">
        <f>[4]Feuil1!$B$1</f>
        <v>Average Success</v>
      </c>
      <c r="D49" s="1" t="str">
        <f>[4]Feuil1!$C$1</f>
        <v>Average Distance Success</v>
      </c>
      <c r="E49" s="1" t="str">
        <f>[4]Feuil1!$D$1</f>
        <v>Max Distance Success</v>
      </c>
      <c r="F49" s="1" t="str">
        <f>[4]Feuil1!$E$1</f>
        <v>Min Distance Success</v>
      </c>
      <c r="G49" s="1">
        <f>[4]Feuil1!F33</f>
        <v>0</v>
      </c>
      <c r="H49" s="1" t="str">
        <f>[4]Feuil1!$G$1</f>
        <v>Time Known Success</v>
      </c>
      <c r="I49" s="1" t="str">
        <f>[4]Feuil1!$H$1</f>
        <v>Average Distance Failure</v>
      </c>
      <c r="J49" s="1" t="str">
        <f>[4]Feuil1!$I$1</f>
        <v>Max Distance Failure</v>
      </c>
      <c r="K49" s="1" t="str">
        <f>[4]Feuil1!$J$1</f>
        <v>Min Distance Failure</v>
      </c>
      <c r="L49" s="1" t="str">
        <f>[4]Feuil1!$K$1</f>
        <v>Std Distance Failure</v>
      </c>
      <c r="M49" s="1" t="str">
        <f>[4]Feuil1!$L$1</f>
        <v>Time Known Failure</v>
      </c>
      <c r="N49" s="1" t="str">
        <f>[4]Feuil1!$M$1</f>
        <v>Total Targets</v>
      </c>
      <c r="O49" s="1" t="str">
        <f>[4]Feuil1!$N$1</f>
        <v>%Weight1</v>
      </c>
      <c r="P49" s="2"/>
      <c r="Q49" s="2"/>
      <c r="R49" s="2"/>
      <c r="T49" s="2" t="s">
        <v>20</v>
      </c>
      <c r="U49" s="2" t="s">
        <v>21</v>
      </c>
    </row>
    <row r="50" spans="1:23" x14ac:dyDescent="0.2">
      <c r="B50" s="1">
        <f>[4]Feuil1!$A$2</f>
        <v>0</v>
      </c>
      <c r="C50" s="14">
        <f>[4]Feuil1!$B$2</f>
        <v>0.6333333333333333</v>
      </c>
      <c r="D50" s="13">
        <f>[4]Feuil1!$C$2</f>
        <v>1.2897391785714318E-2</v>
      </c>
      <c r="E50" s="13">
        <f>[4]Feuil1!$D$2</f>
        <v>6.5020499999999995E-2</v>
      </c>
      <c r="F50" s="13">
        <f>[4]Feuil1!$E$2</f>
        <v>4.1642999999999899E-4</v>
      </c>
      <c r="G50" s="13">
        <f>[4]Feuil1!$F$2</f>
        <v>1.598014401950373E-2</v>
      </c>
      <c r="H50" s="13">
        <f>[4]Feuil1!$G$2</f>
        <v>6.3869185714285637</v>
      </c>
      <c r="I50" s="13">
        <f>[4]Feuil1!$H$2</f>
        <v>0.42674632545454466</v>
      </c>
      <c r="J50" s="13">
        <f>[4]Feuil1!$I$2</f>
        <v>2.00967943999999</v>
      </c>
      <c r="K50" s="13">
        <f>[4]Feuil1!$J$2</f>
        <v>0.10585785</v>
      </c>
      <c r="L50" s="13">
        <f>[4]Feuil1!$K$2</f>
        <v>0.43666410821667773</v>
      </c>
      <c r="M50" s="13">
        <f>[4]Feuil1!$L$2</f>
        <v>3.5627852380952385</v>
      </c>
      <c r="N50" s="13">
        <f>[4]Feuil1!$M$2</f>
        <v>60</v>
      </c>
      <c r="O50" s="14">
        <f>[4]Feuil1!$N$2</f>
        <v>0.98333333333333328</v>
      </c>
      <c r="P50" s="11">
        <f t="shared" ref="P50:P62" si="18">D50*100</f>
        <v>1.2897391785714318</v>
      </c>
      <c r="Q50" s="11"/>
      <c r="R50" s="11"/>
      <c r="T50" s="4">
        <f t="shared" ref="T50:T62" si="19" xml:space="preserve"> 1.96 * (G50*100)/SQRT(N50)</f>
        <v>0.40435343349588876</v>
      </c>
      <c r="U50" s="4">
        <f t="shared" ref="U50:U62" si="20">1.96 * (G50*100)/SQRT(N50)</f>
        <v>0.40435343349588876</v>
      </c>
    </row>
    <row r="51" spans="1:23" x14ac:dyDescent="0.2">
      <c r="B51" s="1">
        <f>[4]Feuil1!$A$3</f>
        <v>0.05</v>
      </c>
      <c r="C51" s="14">
        <f>[4]Feuil1!$B$3</f>
        <v>0.6166666666666667</v>
      </c>
      <c r="D51" s="13">
        <f>[4]Feuil1!$C$3</f>
        <v>1.3777177567567548E-2</v>
      </c>
      <c r="E51" s="13">
        <f>[4]Feuil1!$D$3</f>
        <v>6.7259509999999995E-2</v>
      </c>
      <c r="F51" s="13">
        <f>[4]Feuil1!$E$3</f>
        <v>2.6986999999999899E-4</v>
      </c>
      <c r="G51" s="13">
        <f>[4]Feuil1!$F$3</f>
        <v>1.7982988218258306E-2</v>
      </c>
      <c r="H51" s="13">
        <f>[4]Feuil1!$G$3</f>
        <v>6.3588837837837557</v>
      </c>
      <c r="I51" s="13">
        <f>[4]Feuil1!$H$3</f>
        <v>0.41540140956521676</v>
      </c>
      <c r="J51" s="13">
        <f>[4]Feuil1!$I$3</f>
        <v>2.0449271299999898</v>
      </c>
      <c r="K51" s="13">
        <f>[4]Feuil1!$J$3</f>
        <v>0.105940039999999</v>
      </c>
      <c r="L51" s="13">
        <f>[4]Feuil1!$K$3</f>
        <v>0.44437108697589661</v>
      </c>
      <c r="M51" s="13">
        <f>[4]Feuil1!$L$3</f>
        <v>3.5698272727272449</v>
      </c>
      <c r="N51" s="13">
        <f>[4]Feuil1!$M$3</f>
        <v>60</v>
      </c>
      <c r="O51" s="14">
        <f>[4]Feuil1!$N$3</f>
        <v>0.98333333333333328</v>
      </c>
      <c r="P51" s="11">
        <f t="shared" si="18"/>
        <v>1.3777177567567549</v>
      </c>
      <c r="Q51" s="11"/>
      <c r="R51" s="11"/>
      <c r="T51" s="4">
        <f t="shared" si="19"/>
        <v>0.45503238404447621</v>
      </c>
      <c r="U51" s="4">
        <f t="shared" si="20"/>
        <v>0.45503238404447621</v>
      </c>
    </row>
    <row r="52" spans="1:23" x14ac:dyDescent="0.2">
      <c r="B52" s="1">
        <f>[4]Feuil1!$A$4</f>
        <v>0.1</v>
      </c>
      <c r="C52" s="14">
        <f>[4]Feuil1!$B$4</f>
        <v>0.66666666666666663</v>
      </c>
      <c r="D52" s="13">
        <f>[4]Feuil1!$C$4</f>
        <v>1.8564877499999972E-2</v>
      </c>
      <c r="E52" s="13">
        <f>[4]Feuil1!$D$4</f>
        <v>9.5954479999999398E-2</v>
      </c>
      <c r="F52" s="13">
        <f>[4]Feuil1!$E$4</f>
        <v>2.0962999999999901E-4</v>
      </c>
      <c r="G52" s="13">
        <f>[4]Feuil1!$F$4</f>
        <v>2.5641071044600942E-2</v>
      </c>
      <c r="H52" s="13">
        <f>[4]Feuil1!$G$4</f>
        <v>6.2870923076923129</v>
      </c>
      <c r="I52" s="13">
        <f>[4]Feuil1!$H$4</f>
        <v>0.43030904199999859</v>
      </c>
      <c r="J52" s="13">
        <f>[4]Feuil1!$I$4</f>
        <v>2.11595840999999</v>
      </c>
      <c r="K52" s="13">
        <f>[4]Feuil1!$J$4</f>
        <v>0.117668209999999</v>
      </c>
      <c r="L52" s="13">
        <f>[4]Feuil1!$K$4</f>
        <v>0.47990906266580041</v>
      </c>
      <c r="M52" s="13">
        <f>[4]Feuil1!$L$4</f>
        <v>4.0017947368420899</v>
      </c>
      <c r="N52" s="13">
        <f>[4]Feuil1!$M$4</f>
        <v>60</v>
      </c>
      <c r="O52" s="14">
        <f>[4]Feuil1!$N$4</f>
        <v>0.96666666666666667</v>
      </c>
      <c r="P52" s="11">
        <f t="shared" si="18"/>
        <v>1.8564877499999972</v>
      </c>
      <c r="Q52" s="11"/>
      <c r="R52" s="11"/>
      <c r="T52" s="4">
        <f t="shared" si="19"/>
        <v>0.6488086154131163</v>
      </c>
      <c r="U52" s="4">
        <f t="shared" si="20"/>
        <v>0.6488086154131163</v>
      </c>
    </row>
    <row r="53" spans="1:23" x14ac:dyDescent="0.2">
      <c r="B53" s="1">
        <f>[4]Feuil1!$A$5</f>
        <v>0.15</v>
      </c>
      <c r="C53" s="14">
        <f>[4]Feuil1!$B$5</f>
        <v>0.6333333333333333</v>
      </c>
      <c r="D53" s="13">
        <f>[4]Feuil1!$C$5</f>
        <v>2.091095394736844E-2</v>
      </c>
      <c r="E53" s="13">
        <f>[4]Feuil1!$D$5</f>
        <v>8.4053869999999697E-2</v>
      </c>
      <c r="F53" s="13">
        <f>[4]Feuil1!$E$5</f>
        <v>9.8209999999987406E-5</v>
      </c>
      <c r="G53" s="13">
        <f>[4]Feuil1!$F$5</f>
        <v>2.5920538310240361E-2</v>
      </c>
      <c r="H53" s="13">
        <f>[4]Feuil1!$G$5</f>
        <v>9.4658648648649031</v>
      </c>
      <c r="I53" s="13">
        <f>[4]Feuil1!$H$5</f>
        <v>0.42721897363636285</v>
      </c>
      <c r="J53" s="13">
        <f>[4]Feuil1!$I$5</f>
        <v>2.1059698099999902</v>
      </c>
      <c r="K53" s="13">
        <f>[4]Feuil1!$J$5</f>
        <v>0.10141425</v>
      </c>
      <c r="L53" s="13">
        <f>[4]Feuil1!$K$5</f>
        <v>0.45914197045139227</v>
      </c>
      <c r="M53" s="13">
        <f>[4]Feuil1!$L$5</f>
        <v>3.6477619047620058</v>
      </c>
      <c r="N53" s="13">
        <f>[4]Feuil1!$M$5</f>
        <v>60</v>
      </c>
      <c r="O53" s="14">
        <f>[4]Feuil1!$N$5</f>
        <v>0.96666666666666667</v>
      </c>
      <c r="P53" s="11">
        <f t="shared" si="18"/>
        <v>2.0910953947368438</v>
      </c>
      <c r="Q53" s="11"/>
      <c r="R53" s="11"/>
      <c r="T53" s="4">
        <f t="shared" si="19"/>
        <v>0.65588011290857606</v>
      </c>
      <c r="U53" s="4">
        <f t="shared" si="20"/>
        <v>0.65588011290857606</v>
      </c>
    </row>
    <row r="54" spans="1:23" x14ac:dyDescent="0.2">
      <c r="B54" s="1">
        <f>[4]Feuil1!$A$6</f>
        <v>0.17499999999999999</v>
      </c>
      <c r="C54" s="14">
        <f>[4]Feuil1!$B$6</f>
        <v>0.68333333333333335</v>
      </c>
      <c r="D54" s="13">
        <f>[4]Feuil1!$C$6</f>
        <v>2.4403084878048736E-2</v>
      </c>
      <c r="E54" s="13">
        <f>[4]Feuil1!$D$6</f>
        <v>9.6961919999999993E-2</v>
      </c>
      <c r="F54" s="13">
        <f>[4]Feuil1!$E$6</f>
        <v>1.1364E-4</v>
      </c>
      <c r="G54" s="13">
        <f>[4]Feuil1!$F$6</f>
        <v>2.8274095700270507E-2</v>
      </c>
      <c r="H54" s="13">
        <f>[4]Feuil1!$G$6</f>
        <v>7.2690392307692235</v>
      </c>
      <c r="I54" s="13">
        <f>[4]Feuil1!$H$6</f>
        <v>0.34456331842105153</v>
      </c>
      <c r="J54" s="13">
        <f>[4]Feuil1!$I$6</f>
        <v>2.2210130099999899</v>
      </c>
      <c r="K54" s="13">
        <f>[4]Feuil1!$J$6</f>
        <v>0.11518104999999999</v>
      </c>
      <c r="L54" s="13">
        <f>[4]Feuil1!$K$6</f>
        <v>0.47878119208389336</v>
      </c>
      <c r="M54" s="13">
        <f>[4]Feuil1!$L$6</f>
        <v>4.2117058823529314</v>
      </c>
      <c r="N54" s="13">
        <f>[4]Feuil1!$M$6</f>
        <v>60</v>
      </c>
      <c r="O54" s="14">
        <f>[4]Feuil1!$N$6</f>
        <v>0.93333333333333335</v>
      </c>
      <c r="P54" s="11">
        <f t="shared" si="18"/>
        <v>2.4403084878048737</v>
      </c>
      <c r="Q54" s="11"/>
      <c r="R54" s="11"/>
      <c r="T54" s="4">
        <f t="shared" si="19"/>
        <v>0.71543333160465306</v>
      </c>
      <c r="U54" s="4">
        <f t="shared" si="20"/>
        <v>0.71543333160465306</v>
      </c>
    </row>
    <row r="55" spans="1:23" x14ac:dyDescent="0.2">
      <c r="B55" s="1">
        <f>[4]Feuil1!$A$7</f>
        <v>0.2</v>
      </c>
      <c r="C55" s="14">
        <f>[4]Feuil1!$B$7</f>
        <v>0.68852459016393441</v>
      </c>
      <c r="D55" s="13">
        <f>[4]Feuil1!$C$7</f>
        <v>2.5655298536585328E-2</v>
      </c>
      <c r="E55" s="13">
        <f>[4]Feuil1!$D$7</f>
        <v>9.9770410000000004E-2</v>
      </c>
      <c r="F55" s="13">
        <f>[4]Feuil1!$E$7</f>
        <v>2.4390000000007399E-4</v>
      </c>
      <c r="G55" s="13">
        <f>[4]Feuil1!$F$7</f>
        <v>2.9902847817369183E-2</v>
      </c>
      <c r="H55" s="13">
        <f>[4]Feuil1!$G$7</f>
        <v>6.8703263157894341</v>
      </c>
      <c r="I55" s="13">
        <f>[4]Feuil1!$H$7</f>
        <v>0.40887327578947269</v>
      </c>
      <c r="J55" s="13">
        <f>[4]Feuil1!$I$7</f>
        <v>2.2197968099999899</v>
      </c>
      <c r="K55" s="13">
        <f>[4]Feuil1!$J$7</f>
        <v>0.12091225999999899</v>
      </c>
      <c r="L55" s="13">
        <f>[4]Feuil1!$K$7</f>
        <v>0.48175296110852867</v>
      </c>
      <c r="M55" s="13">
        <f>[4]Feuil1!$L$7</f>
        <v>3.7045833333334546</v>
      </c>
      <c r="N55" s="13">
        <f>[4]Feuil1!$M$7</f>
        <v>61</v>
      </c>
      <c r="O55" s="14">
        <f>[4]Feuil1!$N$7</f>
        <v>0.93442622950819676</v>
      </c>
      <c r="P55" s="11">
        <f t="shared" si="18"/>
        <v>2.5655298536585329</v>
      </c>
      <c r="Q55" s="11"/>
      <c r="R55" s="11"/>
      <c r="T55" s="4">
        <f t="shared" si="19"/>
        <v>0.75041879778625509</v>
      </c>
      <c r="U55" s="4">
        <f t="shared" si="20"/>
        <v>0.75041879778625509</v>
      </c>
    </row>
    <row r="56" spans="1:23" x14ac:dyDescent="0.2">
      <c r="B56" s="1">
        <f>[4]Feuil1!$A$8</f>
        <v>0.22500000000000001</v>
      </c>
      <c r="C56" s="14">
        <f>[4]Feuil1!$B$8</f>
        <v>0.65</v>
      </c>
      <c r="D56" s="13">
        <f>[4]Feuil1!$C$8</f>
        <v>2.163882999999998E-2</v>
      </c>
      <c r="E56" s="13">
        <f>[4]Feuil1!$D$8</f>
        <v>8.8005369999999999E-2</v>
      </c>
      <c r="F56" s="13">
        <f>[4]Feuil1!$E$8</f>
        <v>5.7240000000069403E-5</v>
      </c>
      <c r="G56" s="13">
        <f>[4]Feuil1!$F$8</f>
        <v>2.5134363116589037E-2</v>
      </c>
      <c r="H56" s="13">
        <f>[4]Feuil1!$G$8</f>
        <v>6.518707894736858</v>
      </c>
      <c r="I56" s="13">
        <f>[4]Feuil1!$H$8</f>
        <v>0.37374535523809493</v>
      </c>
      <c r="J56" s="13">
        <f>[4]Feuil1!$I$8</f>
        <v>2.2212511799999999</v>
      </c>
      <c r="K56" s="13">
        <f>[4]Feuil1!$J$8</f>
        <v>0.102870849999999</v>
      </c>
      <c r="L56" s="13">
        <f>[4]Feuil1!$K$8</f>
        <v>0.45676368087067692</v>
      </c>
      <c r="M56" s="13">
        <f>[4]Feuil1!$L$8</f>
        <v>3.4646888888889116</v>
      </c>
      <c r="N56" s="13">
        <f>[4]Feuil1!$M$8</f>
        <v>60</v>
      </c>
      <c r="O56" s="14">
        <f>[4]Feuil1!$N$8</f>
        <v>0.93333333333333335</v>
      </c>
      <c r="P56" s="11">
        <f t="shared" si="18"/>
        <v>2.163882999999998</v>
      </c>
      <c r="Q56" s="11"/>
      <c r="R56" s="11"/>
      <c r="T56" s="4">
        <f t="shared" si="19"/>
        <v>0.63598713581811794</v>
      </c>
      <c r="U56" s="4">
        <f t="shared" si="20"/>
        <v>0.63598713581811794</v>
      </c>
    </row>
    <row r="57" spans="1:23" x14ac:dyDescent="0.2">
      <c r="B57" s="1">
        <f>[4]Feuil1!$A$9</f>
        <v>0.25</v>
      </c>
      <c r="C57" s="14">
        <f>[4]Feuil1!$B$9</f>
        <v>0.65</v>
      </c>
      <c r="D57" s="13">
        <f>[4]Feuil1!$C$9</f>
        <v>2.0801031794871749E-2</v>
      </c>
      <c r="E57" s="13">
        <f>[4]Feuil1!$D$9</f>
        <v>9.55868E-2</v>
      </c>
      <c r="F57" s="13">
        <f>[4]Feuil1!$E$9</f>
        <v>1.62949999999999E-4</v>
      </c>
      <c r="G57" s="13">
        <f>[4]Feuil1!$F$9</f>
        <v>2.6394296923954976E-2</v>
      </c>
      <c r="H57" s="13">
        <f>[4]Feuil1!$G$9</f>
        <v>5.4379736842105411</v>
      </c>
      <c r="I57" s="13">
        <f>[4]Feuil1!$H$9</f>
        <v>0.42748301333333188</v>
      </c>
      <c r="J57" s="13">
        <f>[4]Feuil1!$I$9</f>
        <v>1.9777658499999899</v>
      </c>
      <c r="K57" s="13">
        <f>[4]Feuil1!$J$9</f>
        <v>0.117679319999999</v>
      </c>
      <c r="L57" s="13">
        <f>[4]Feuil1!$K$9</f>
        <v>0.44201014498966473</v>
      </c>
      <c r="M57" s="13">
        <f>[4]Feuil1!$L$9</f>
        <v>2.9521176470588548</v>
      </c>
      <c r="N57" s="13">
        <f>[4]Feuil1!$M$9</f>
        <v>60</v>
      </c>
      <c r="O57" s="14">
        <f>[4]Feuil1!$N$9</f>
        <v>0.91666666666666663</v>
      </c>
      <c r="P57" s="11">
        <f t="shared" si="18"/>
        <v>2.0801031794871747</v>
      </c>
      <c r="Q57" s="11"/>
      <c r="R57" s="11"/>
      <c r="T57" s="4">
        <f t="shared" si="19"/>
        <v>0.66786785981936425</v>
      </c>
      <c r="U57" s="4">
        <f t="shared" si="20"/>
        <v>0.66786785981936425</v>
      </c>
    </row>
    <row r="58" spans="1:23" x14ac:dyDescent="0.2">
      <c r="B58" s="1">
        <f>[4]Feuil1!$A$10</f>
        <v>0.3</v>
      </c>
      <c r="C58" s="14">
        <f>[4]Feuil1!$B$10</f>
        <v>0.6166666666666667</v>
      </c>
      <c r="D58" s="13">
        <f>[4]Feuil1!$C$10</f>
        <v>1.848541945945948E-2</v>
      </c>
      <c r="E58" s="13">
        <f>[4]Feuil1!$D$10</f>
        <v>8.4394739999999996E-2</v>
      </c>
      <c r="F58" s="13">
        <f>[4]Feuil1!$E$10</f>
        <v>1.2554999999999901E-4</v>
      </c>
      <c r="G58" s="13">
        <f>[4]Feuil1!$F$10</f>
        <v>2.3554034988923007E-2</v>
      </c>
      <c r="H58" s="13">
        <f>[4]Feuil1!$G$10</f>
        <v>4.9183272972973109</v>
      </c>
      <c r="I58" s="13">
        <f>[4]Feuil1!$H$10</f>
        <v>0.4107205582608684</v>
      </c>
      <c r="J58" s="13">
        <f>[4]Feuil1!$I$10</f>
        <v>1.7579735699999901</v>
      </c>
      <c r="K58" s="13">
        <f>[4]Feuil1!$J$10</f>
        <v>0.1023372</v>
      </c>
      <c r="L58" s="13">
        <f>[4]Feuil1!$K$10</f>
        <v>0.40870269291895317</v>
      </c>
      <c r="M58" s="13">
        <f>[4]Feuil1!$L$10</f>
        <v>2.9142111111111975</v>
      </c>
      <c r="N58" s="13">
        <f>[4]Feuil1!$M$10</f>
        <v>60</v>
      </c>
      <c r="O58" s="14">
        <f>[4]Feuil1!$N$10</f>
        <v>0.91666666666666663</v>
      </c>
      <c r="P58" s="11">
        <f t="shared" si="18"/>
        <v>1.848541945945948</v>
      </c>
      <c r="Q58" s="11"/>
      <c r="R58" s="11"/>
      <c r="T58" s="4">
        <f t="shared" si="19"/>
        <v>0.59599931695415931</v>
      </c>
      <c r="U58" s="4">
        <f t="shared" si="20"/>
        <v>0.59599931695415931</v>
      </c>
    </row>
    <row r="59" spans="1:23" x14ac:dyDescent="0.2">
      <c r="B59" s="1">
        <f>[4]Feuil1!$A$11</f>
        <v>0.35</v>
      </c>
      <c r="C59" s="14">
        <f>[4]Feuil1!$B$11</f>
        <v>0.6</v>
      </c>
      <c r="D59" s="13">
        <f>[4]Feuil1!$C$11</f>
        <v>2.3451587777777741E-2</v>
      </c>
      <c r="E59" s="13">
        <f>[4]Feuil1!$D$11</f>
        <v>9.9773489999999895E-2</v>
      </c>
      <c r="F59" s="13">
        <f>[4]Feuil1!$E$11</f>
        <v>5.83499999999999E-5</v>
      </c>
      <c r="G59" s="13">
        <f>[4]Feuil1!$F$11</f>
        <v>2.7251056880833398E-2</v>
      </c>
      <c r="H59" s="13">
        <f>[4]Feuil1!$G$11</f>
        <v>4.6325285714286411</v>
      </c>
      <c r="I59" s="13">
        <f>[4]Feuil1!$H$11</f>
        <v>0.33735801791666548</v>
      </c>
      <c r="J59" s="13">
        <f>[4]Feuil1!$I$11</f>
        <v>1.79463900999999</v>
      </c>
      <c r="K59" s="13">
        <f>[4]Feuil1!$J$11</f>
        <v>0.10412631</v>
      </c>
      <c r="L59" s="13">
        <f>[4]Feuil1!$K$11</f>
        <v>0.4055608935808942</v>
      </c>
      <c r="M59" s="13">
        <f>[4]Feuil1!$L$11</f>
        <v>2.4920529411763677</v>
      </c>
      <c r="N59" s="13">
        <f>[4]Feuil1!$M$11</f>
        <v>60</v>
      </c>
      <c r="O59" s="14">
        <f>[4]Feuil1!$N$11</f>
        <v>0.8666666666666667</v>
      </c>
      <c r="P59" s="11">
        <f t="shared" si="18"/>
        <v>2.3451587777777743</v>
      </c>
      <c r="Q59" s="11"/>
      <c r="R59" s="11"/>
      <c r="T59" s="4">
        <f t="shared" si="19"/>
        <v>0.68954687784465596</v>
      </c>
      <c r="U59" s="4">
        <f t="shared" si="20"/>
        <v>0.68954687784465596</v>
      </c>
    </row>
    <row r="60" spans="1:23" x14ac:dyDescent="0.2">
      <c r="B60" s="1">
        <f>[4]Feuil1!$A$12</f>
        <v>0.4</v>
      </c>
      <c r="C60" s="14">
        <f>[4]Feuil1!$B$12</f>
        <v>0.56666666666666665</v>
      </c>
      <c r="D60" s="13">
        <f>[4]Feuil1!$C$12</f>
        <v>3.1685302058823507E-2</v>
      </c>
      <c r="E60" s="13">
        <f>[4]Feuil1!$D$12</f>
        <v>9.5690239999999996E-2</v>
      </c>
      <c r="F60" s="13">
        <f>[4]Feuil1!$E$12</f>
        <v>2.77699999999998E-5</v>
      </c>
      <c r="G60" s="13">
        <f>[4]Feuil1!$F$12</f>
        <v>3.0877341567125724E-2</v>
      </c>
      <c r="H60" s="13">
        <f>[4]Feuil1!$G$12</f>
        <v>4.1575937500000002</v>
      </c>
      <c r="I60" s="13">
        <f>[4]Feuil1!$H$12</f>
        <v>0.38920316153846063</v>
      </c>
      <c r="J60" s="13">
        <f>[4]Feuil1!$I$12</f>
        <v>1.75749167999999</v>
      </c>
      <c r="K60" s="13">
        <f>[4]Feuil1!$J$12</f>
        <v>0.11430206</v>
      </c>
      <c r="L60" s="13">
        <f>[4]Feuil1!$K$12</f>
        <v>0.38270283810509576</v>
      </c>
      <c r="M60" s="13">
        <f>[4]Feuil1!$L$12</f>
        <v>1.7041176470586872</v>
      </c>
      <c r="N60" s="13">
        <f>[4]Feuil1!$M$12</f>
        <v>60</v>
      </c>
      <c r="O60" s="14">
        <f>[4]Feuil1!$N$12</f>
        <v>0.81666666666666665</v>
      </c>
      <c r="P60" s="11">
        <f t="shared" si="18"/>
        <v>3.1685302058823508</v>
      </c>
      <c r="Q60" s="11"/>
      <c r="R60" s="11"/>
      <c r="T60" s="4">
        <f t="shared" si="19"/>
        <v>0.78130454047562148</v>
      </c>
      <c r="U60" s="4">
        <f t="shared" si="20"/>
        <v>0.78130454047562148</v>
      </c>
    </row>
    <row r="61" spans="1:23" x14ac:dyDescent="0.2">
      <c r="B61" s="1">
        <f>[4]Feuil1!$A$13</f>
        <v>0.5</v>
      </c>
      <c r="C61" s="14">
        <f>[4]Feuil1!$B$13</f>
        <v>0.36666666666666664</v>
      </c>
      <c r="D61" s="13">
        <f>[4]Feuil1!$C$13</f>
        <v>2.5169706363636316E-2</v>
      </c>
      <c r="E61" s="13">
        <f>[4]Feuil1!$D$13</f>
        <v>9.29907499999999E-2</v>
      </c>
      <c r="F61" s="13">
        <f>[4]Feuil1!$E$13</f>
        <v>8.8479999999987999E-5</v>
      </c>
      <c r="G61" s="13">
        <f>[4]Feuil1!$F$13</f>
        <v>2.6977151353814965E-2</v>
      </c>
      <c r="H61" s="13">
        <f>[4]Feuil1!$G$13</f>
        <v>4.1326368421052679</v>
      </c>
      <c r="I61" s="13">
        <f>[4]Feuil1!$H$13</f>
        <v>0.42448133210526268</v>
      </c>
      <c r="J61" s="13">
        <f>[4]Feuil1!$I$13</f>
        <v>1.7873404499999901</v>
      </c>
      <c r="K61" s="13">
        <f>[4]Feuil1!$J$13</f>
        <v>0.10495105</v>
      </c>
      <c r="L61" s="13">
        <f>[4]Feuil1!$K$13</f>
        <v>0.36406305224175628</v>
      </c>
      <c r="M61" s="13">
        <f>[4]Feuil1!$L$13</f>
        <v>1.4225266666666649</v>
      </c>
      <c r="N61" s="13">
        <f>[4]Feuil1!$M$13</f>
        <v>60</v>
      </c>
      <c r="O61" s="14">
        <f>[4]Feuil1!$N$13</f>
        <v>0.56666666666666665</v>
      </c>
      <c r="P61" s="11">
        <f t="shared" si="18"/>
        <v>2.5169706363636317</v>
      </c>
      <c r="Q61" s="11"/>
      <c r="R61" s="11"/>
      <c r="T61" s="4">
        <f t="shared" si="19"/>
        <v>0.68261611175342241</v>
      </c>
      <c r="U61" s="4">
        <f t="shared" si="20"/>
        <v>0.68261611175342241</v>
      </c>
    </row>
    <row r="62" spans="1:23" x14ac:dyDescent="0.2">
      <c r="B62" s="1">
        <f>[4]Feuil1!$A$14</f>
        <v>0.75</v>
      </c>
      <c r="C62" s="14">
        <f>[4]Feuil1!$B$14</f>
        <v>0.16666666666666666</v>
      </c>
      <c r="D62" s="13">
        <f>[4]Feuil1!$C$14</f>
        <v>5.3906760999999956E-2</v>
      </c>
      <c r="E62" s="13">
        <f>[4]Feuil1!$D$14</f>
        <v>9.6392169999999902E-2</v>
      </c>
      <c r="F62" s="13">
        <f>[4]Feuil1!$E$14</f>
        <v>4.2419200000000101E-3</v>
      </c>
      <c r="G62" s="13">
        <f>[4]Feuil1!$F$14</f>
        <v>3.2467634966129373E-2</v>
      </c>
      <c r="H62" s="13">
        <f>[4]Feuil1!$G$14</f>
        <v>1.1194999999998951</v>
      </c>
      <c r="I62" s="13">
        <f>[4]Feuil1!$H$14</f>
        <v>0.55982194459999934</v>
      </c>
      <c r="J62" s="13">
        <f>[4]Feuil1!$I$14</f>
        <v>2.2920629699999999</v>
      </c>
      <c r="K62" s="13">
        <f>[4]Feuil1!$J$14</f>
        <v>0.112616509999999</v>
      </c>
      <c r="L62" s="13">
        <f>[4]Feuil1!$K$14</f>
        <v>0.41542919829827712</v>
      </c>
      <c r="M62" s="13" t="e">
        <f>[4]Feuil1!$L$14</f>
        <v>#DIV/0!</v>
      </c>
      <c r="N62" s="13">
        <f>[4]Feuil1!$M$14</f>
        <v>60</v>
      </c>
      <c r="O62" s="14">
        <f>[4]Feuil1!$N$14</f>
        <v>3.3333333333333333E-2</v>
      </c>
      <c r="P62" s="11">
        <f t="shared" si="18"/>
        <v>5.3906760999999959</v>
      </c>
      <c r="Q62" s="11"/>
      <c r="R62" s="11"/>
      <c r="T62" s="4">
        <f t="shared" si="19"/>
        <v>0.82154451549512975</v>
      </c>
      <c r="U62" s="4">
        <f t="shared" si="20"/>
        <v>0.82154451549512975</v>
      </c>
      <c r="W62">
        <f>0.75*2</f>
        <v>1.5</v>
      </c>
    </row>
    <row r="63" spans="1:23" x14ac:dyDescent="0.2">
      <c r="B63" s="1">
        <f>[4]Feuil1!$A$15</f>
        <v>1</v>
      </c>
      <c r="C63" s="14" t="e">
        <f>[4]Feuil1!$B$15</f>
        <v>#DIV/0!</v>
      </c>
      <c r="D63" s="13" t="e">
        <f>[4]Feuil1!$C$15</f>
        <v>#DIV/0!</v>
      </c>
      <c r="E63" s="13">
        <f>[4]Feuil1!$D$15</f>
        <v>0</v>
      </c>
      <c r="F63" s="13">
        <f>[4]Feuil1!$E$15</f>
        <v>0</v>
      </c>
      <c r="G63" s="13" t="e">
        <f>[4]Feuil1!$F$15</f>
        <v>#DIV/0!</v>
      </c>
      <c r="H63" s="13" t="e">
        <f>[4]Feuil1!$G$15</f>
        <v>#DIV/0!</v>
      </c>
      <c r="I63" s="13" t="e">
        <f>[4]Feuil1!$H$15</f>
        <v>#DIV/0!</v>
      </c>
      <c r="J63" s="13">
        <f>[4]Feuil1!$I$15</f>
        <v>0</v>
      </c>
      <c r="K63" s="13">
        <f>[4]Feuil1!$J$15</f>
        <v>0</v>
      </c>
      <c r="L63" s="13" t="e">
        <f>[4]Feuil1!$K$15</f>
        <v>#DIV/0!</v>
      </c>
      <c r="M63" s="13" t="e">
        <f>[4]Feuil1!$L$15</f>
        <v>#DIV/0!</v>
      </c>
      <c r="N63" s="13">
        <f>[4]Feuil1!$M$15</f>
        <v>0</v>
      </c>
      <c r="O63" s="14" t="e">
        <f>[4]Feuil1!$N$15</f>
        <v>#VALUE!</v>
      </c>
      <c r="P63" s="11" t="e">
        <f t="shared" ref="P63" si="21">D63*100</f>
        <v>#DIV/0!</v>
      </c>
      <c r="Q63" s="11"/>
      <c r="R63" s="11"/>
      <c r="T63" s="4" t="e">
        <f t="shared" ref="T63" si="22" xml:space="preserve"> 1.96 * (G63*100)/SQRT(N63)</f>
        <v>#DIV/0!</v>
      </c>
      <c r="U63" s="4" t="e">
        <f t="shared" ref="U63" si="23">1.96 * (G63*100)/SQRT(N63)</f>
        <v>#DIV/0!</v>
      </c>
      <c r="W63">
        <f>0.75*3</f>
        <v>2.25</v>
      </c>
    </row>
    <row r="64" spans="1:23" x14ac:dyDescent="0.2">
      <c r="W64">
        <f>0.75*4</f>
        <v>3</v>
      </c>
    </row>
    <row r="65" spans="1:23" x14ac:dyDescent="0.2">
      <c r="A65" t="s">
        <v>18</v>
      </c>
      <c r="B65" s="1" t="str">
        <f>[5]Feuil1!$A$1</f>
        <v>ContribDistance</v>
      </c>
      <c r="C65" s="1" t="str">
        <f>[5]Feuil1!$B$1</f>
        <v>Average Success</v>
      </c>
      <c r="D65" s="1" t="str">
        <f>[5]Feuil1!$C$1</f>
        <v>Average Distance Success</v>
      </c>
      <c r="E65" s="1" t="str">
        <f>[5]Feuil1!$D$1</f>
        <v>Max Distance Success</v>
      </c>
      <c r="F65" s="1" t="str">
        <f>[5]Feuil1!$E$1</f>
        <v>Min Distance Success</v>
      </c>
      <c r="G65" s="1">
        <f>[5]Feuil1!F49</f>
        <v>0</v>
      </c>
      <c r="H65" s="1" t="str">
        <f>[5]Feuil1!$G$1</f>
        <v>Time Known Success</v>
      </c>
      <c r="I65" s="1" t="str">
        <f>[5]Feuil1!$H$1</f>
        <v>Average Distance Failure</v>
      </c>
      <c r="J65" s="1" t="str">
        <f>[5]Feuil1!$I$1</f>
        <v>Max Distance Failure</v>
      </c>
      <c r="K65" s="1" t="str">
        <f>[5]Feuil1!$J$1</f>
        <v>Min Distance Failure</v>
      </c>
      <c r="L65" s="1" t="str">
        <f>[5]Feuil1!$K$1</f>
        <v>Std Distance Failure</v>
      </c>
      <c r="M65" s="1" t="str">
        <f>[5]Feuil1!$L$1</f>
        <v>Time Known Failure</v>
      </c>
      <c r="N65" s="1" t="str">
        <f>[5]Feuil1!$M$1</f>
        <v>Total Targets</v>
      </c>
      <c r="O65" s="1" t="str">
        <f>[5]Feuil1!$N$1</f>
        <v>%Weight1</v>
      </c>
      <c r="P65" s="2"/>
      <c r="Q65" s="2"/>
      <c r="R65" s="2"/>
      <c r="T65" s="2" t="s">
        <v>20</v>
      </c>
      <c r="U65" s="2" t="s">
        <v>21</v>
      </c>
      <c r="W65">
        <f>0.75*5</f>
        <v>3.75</v>
      </c>
    </row>
    <row r="66" spans="1:23" x14ac:dyDescent="0.2">
      <c r="B66" s="1">
        <f>[5]Feuil1!$A$2</f>
        <v>0</v>
      </c>
      <c r="C66" s="14">
        <f>[5]Feuil1!$B$2</f>
        <v>0.6333333333333333</v>
      </c>
      <c r="D66" s="13">
        <f>[5]Feuil1!$C$2</f>
        <v>1.5812637894736803E-2</v>
      </c>
      <c r="E66" s="13">
        <f>[5]Feuil1!$D$2</f>
        <v>9.3804149999999697E-2</v>
      </c>
      <c r="F66" s="13">
        <f>[5]Feuil1!$E$2</f>
        <v>1.5420999999998699E-4</v>
      </c>
      <c r="G66" s="13">
        <f>[5]Feuil1!$F$2</f>
        <v>2.1612004881680403E-2</v>
      </c>
      <c r="H66" s="13">
        <f>[5]Feuil1!$G$2</f>
        <v>5.6424473684210392</v>
      </c>
      <c r="I66" s="13">
        <f>[5]Feuil1!$H$2</f>
        <v>0.54300505045454517</v>
      </c>
      <c r="J66" s="13">
        <f>[5]Feuil1!$I$2</f>
        <v>1.6776208100000001</v>
      </c>
      <c r="K66" s="13">
        <f>[5]Feuil1!$J$2</f>
        <v>0.105513599999999</v>
      </c>
      <c r="L66" s="13">
        <f>[5]Feuil1!$K$2</f>
        <v>0.44187098903647065</v>
      </c>
      <c r="M66" s="13">
        <f>[5]Feuil1!$L$2</f>
        <v>4.072866666666668</v>
      </c>
      <c r="N66" s="13">
        <f>[5]Feuil1!$M$2</f>
        <v>60</v>
      </c>
      <c r="O66" s="14">
        <f>[5]Feuil1!$N$2</f>
        <v>0.98333333333333328</v>
      </c>
      <c r="P66" s="11">
        <f t="shared" ref="P66:P78" si="24">D66*100</f>
        <v>1.5812637894736803</v>
      </c>
      <c r="Q66" s="11"/>
      <c r="R66" s="11"/>
      <c r="T66" s="4">
        <f t="shared" ref="T66:T78" si="25" xml:space="preserve"> 1.96 * (G66*100)/SQRT(N66)</f>
        <v>0.54685917523469041</v>
      </c>
      <c r="U66" s="4">
        <f t="shared" ref="U66:U78" si="26">1.96 * (G66*100)/SQRT(N66)</f>
        <v>0.54685917523469041</v>
      </c>
      <c r="W66">
        <f>0.25*2</f>
        <v>0.5</v>
      </c>
    </row>
    <row r="67" spans="1:23" x14ac:dyDescent="0.2">
      <c r="B67" s="1">
        <f>[5]Feuil1!$A$3</f>
        <v>0.05</v>
      </c>
      <c r="C67" s="14">
        <f>[5]Feuil1!$B$3</f>
        <v>0.6333333333333333</v>
      </c>
      <c r="D67" s="13">
        <f>[5]Feuil1!$C$3</f>
        <v>1.4069203846153807E-2</v>
      </c>
      <c r="E67" s="13">
        <f>[5]Feuil1!$D$3</f>
        <v>7.7220149999999793E-2</v>
      </c>
      <c r="F67" s="13">
        <f>[5]Feuil1!$E$3</f>
        <v>1.66379999999993E-4</v>
      </c>
      <c r="G67" s="13">
        <f>[5]Feuil1!$F$3</f>
        <v>1.7851504440145903E-2</v>
      </c>
      <c r="H67" s="13">
        <f>[5]Feuil1!$G$3</f>
        <v>6.1183341025640994</v>
      </c>
      <c r="I67" s="13">
        <f>[5]Feuil1!$H$3</f>
        <v>0.49432455380952323</v>
      </c>
      <c r="J67" s="13">
        <f>[5]Feuil1!$I$3</f>
        <v>1.6732505899999901</v>
      </c>
      <c r="K67" s="13">
        <f>[5]Feuil1!$J$3</f>
        <v>0.11208527</v>
      </c>
      <c r="L67" s="13">
        <f>[5]Feuil1!$K$3</f>
        <v>0.41332464467520325</v>
      </c>
      <c r="M67" s="13">
        <f>[5]Feuil1!$L$3</f>
        <v>4.0589850000000158</v>
      </c>
      <c r="N67" s="13">
        <f>[5]Feuil1!$M$3</f>
        <v>60</v>
      </c>
      <c r="O67" s="14">
        <f>[5]Feuil1!$N$3</f>
        <v>0.98333333333333328</v>
      </c>
      <c r="P67" s="11">
        <f t="shared" si="24"/>
        <v>1.4069203846153808</v>
      </c>
      <c r="Q67" s="11"/>
      <c r="R67" s="11"/>
      <c r="T67" s="4">
        <f t="shared" si="25"/>
        <v>0.45170538542269451</v>
      </c>
      <c r="U67" s="4">
        <f t="shared" si="26"/>
        <v>0.45170538542269451</v>
      </c>
      <c r="W67">
        <f>0.25*3</f>
        <v>0.75</v>
      </c>
    </row>
    <row r="68" spans="1:23" x14ac:dyDescent="0.2">
      <c r="B68" s="1">
        <f>[5]Feuil1!$A$4</f>
        <v>0.1</v>
      </c>
      <c r="C68" s="14">
        <f>[5]Feuil1!$B$4</f>
        <v>0.65</v>
      </c>
      <c r="D68" s="13">
        <f>[5]Feuil1!$C$4</f>
        <v>1.4069203846153807E-2</v>
      </c>
      <c r="E68" s="13">
        <f>[5]Feuil1!$D$4</f>
        <v>7.7220149999999793E-2</v>
      </c>
      <c r="F68" s="13">
        <f>[5]Feuil1!$E$4</f>
        <v>1.66379999999993E-4</v>
      </c>
      <c r="G68" s="13">
        <f>[5]Feuil1!$F$4</f>
        <v>1.7851504440145903E-2</v>
      </c>
      <c r="H68" s="13">
        <f>[5]Feuil1!$G$4</f>
        <v>6.1183341025640994</v>
      </c>
      <c r="I68" s="13">
        <f>[5]Feuil1!$H$4</f>
        <v>0.49432455380952323</v>
      </c>
      <c r="J68" s="13">
        <f>[5]Feuil1!$I$4</f>
        <v>1.6732505899999901</v>
      </c>
      <c r="K68" s="13">
        <f>[5]Feuil1!$J$4</f>
        <v>0.11208527</v>
      </c>
      <c r="L68" s="13">
        <f>[5]Feuil1!$K$4</f>
        <v>0.41332464467520325</v>
      </c>
      <c r="M68" s="13">
        <f>[5]Feuil1!$L$4</f>
        <v>4.0589850000000158</v>
      </c>
      <c r="N68" s="13">
        <f>[5]Feuil1!$M$4</f>
        <v>60</v>
      </c>
      <c r="O68" s="14">
        <f>[5]Feuil1!$N$4</f>
        <v>0.98333333333333328</v>
      </c>
      <c r="P68" s="11">
        <f t="shared" si="24"/>
        <v>1.4069203846153808</v>
      </c>
      <c r="Q68" s="11"/>
      <c r="R68" s="11"/>
      <c r="T68" s="4">
        <f t="shared" si="25"/>
        <v>0.45170538542269451</v>
      </c>
      <c r="U68" s="4">
        <f t="shared" si="26"/>
        <v>0.45170538542269451</v>
      </c>
    </row>
    <row r="69" spans="1:23" x14ac:dyDescent="0.2">
      <c r="B69" s="1">
        <f>[5]Feuil1!$A$5</f>
        <v>0.15</v>
      </c>
      <c r="C69" s="14">
        <f>[5]Feuil1!$B$5</f>
        <v>0.66666666666666663</v>
      </c>
      <c r="D69" s="13">
        <f>[5]Feuil1!$C$5</f>
        <v>2.0351788749999981E-2</v>
      </c>
      <c r="E69" s="13">
        <f>[5]Feuil1!$D$5</f>
        <v>9.9250650000000301E-2</v>
      </c>
      <c r="F69" s="13">
        <f>[5]Feuil1!$E$5</f>
        <v>1.40650000000075E-4</v>
      </c>
      <c r="G69" s="13">
        <f>[5]Feuil1!$F$5</f>
        <v>2.5973726155319128E-2</v>
      </c>
      <c r="H69" s="13">
        <f>[5]Feuil1!$G$5</f>
        <v>5.9864000000000512</v>
      </c>
      <c r="I69" s="13">
        <f>[5]Feuil1!$H$5</f>
        <v>0.47579264099999924</v>
      </c>
      <c r="J69" s="13">
        <f>[5]Feuil1!$I$5</f>
        <v>1.6743059599999901</v>
      </c>
      <c r="K69" s="13">
        <f>[5]Feuil1!$J$5</f>
        <v>0.12184623</v>
      </c>
      <c r="L69" s="13">
        <f>[5]Feuil1!$K$5</f>
        <v>0.38752673517632424</v>
      </c>
      <c r="M69" s="13">
        <f>[5]Feuil1!$L$5</f>
        <v>3.9258947368420887</v>
      </c>
      <c r="N69" s="13">
        <f>[5]Feuil1!$M$5</f>
        <v>60</v>
      </c>
      <c r="O69" s="14">
        <f>[5]Feuil1!$N$5</f>
        <v>0.98333333333333328</v>
      </c>
      <c r="P69" s="11">
        <f t="shared" si="24"/>
        <v>2.0351788749999979</v>
      </c>
      <c r="Q69" s="11"/>
      <c r="R69" s="11"/>
      <c r="T69" s="4">
        <f t="shared" si="25"/>
        <v>0.65722595107821946</v>
      </c>
      <c r="U69" s="4">
        <f t="shared" si="26"/>
        <v>0.65722595107821946</v>
      </c>
    </row>
    <row r="70" spans="1:23" x14ac:dyDescent="0.2">
      <c r="B70" s="1">
        <f>[5]Feuil1!$A$14</f>
        <v>0.17499999999999999</v>
      </c>
      <c r="C70" s="14">
        <f>[5]Feuil1!$B$14</f>
        <v>0.68333333333333335</v>
      </c>
      <c r="D70" s="13">
        <f>[5]Feuil1!$C$14</f>
        <v>1.9957306585365826E-2</v>
      </c>
      <c r="E70" s="13">
        <f>[5]Feuil1!$D$14</f>
        <v>9.3910449999999895E-2</v>
      </c>
      <c r="F70" s="13">
        <f>[5]Feuil1!$E$14</f>
        <v>4.0172999999999598E-4</v>
      </c>
      <c r="G70" s="13">
        <f>[5]Feuil1!$F$14</f>
        <v>2.5088748393872186E-2</v>
      </c>
      <c r="H70" s="13">
        <f>[5]Feuil1!$G$14</f>
        <v>6.7451912195121837</v>
      </c>
      <c r="I70" s="13">
        <f>[5]Feuil1!$H$14</f>
        <v>0.51888745842105255</v>
      </c>
      <c r="J70" s="13">
        <f>[5]Feuil1!$I$14</f>
        <v>1.64253753</v>
      </c>
      <c r="K70" s="13">
        <f>[5]Feuil1!$J$14</f>
        <v>0.10072049999999901</v>
      </c>
      <c r="L70" s="13">
        <f>[5]Feuil1!$K$14</f>
        <v>0.41246837108196355</v>
      </c>
      <c r="M70" s="13">
        <f>[5]Feuil1!$L$14</f>
        <v>4.5364555555555377</v>
      </c>
      <c r="N70" s="13">
        <f>[5]Feuil1!$M$14</f>
        <v>60</v>
      </c>
      <c r="O70" s="14">
        <f>[5]Feuil1!$N$14</f>
        <v>0.98333333333333328</v>
      </c>
      <c r="P70" s="11">
        <f t="shared" si="24"/>
        <v>1.9957306585365826</v>
      </c>
      <c r="Q70" s="11"/>
      <c r="R70" s="11"/>
      <c r="T70" s="4">
        <f t="shared" si="25"/>
        <v>0.63483292408347958</v>
      </c>
      <c r="U70" s="4">
        <f t="shared" si="26"/>
        <v>0.63483292408347958</v>
      </c>
    </row>
    <row r="71" spans="1:23" x14ac:dyDescent="0.2">
      <c r="B71" s="1">
        <f>[5]Feuil1!$A$6</f>
        <v>0.2</v>
      </c>
      <c r="C71" s="14">
        <f>[5]Feuil1!$B$6</f>
        <v>0.66666666666666663</v>
      </c>
      <c r="D71" s="13">
        <f>[5]Feuil1!$C$6</f>
        <v>1.7503555499999962E-2</v>
      </c>
      <c r="E71" s="13">
        <f>[5]Feuil1!$D$6</f>
        <v>9.9901920000000005E-2</v>
      </c>
      <c r="F71" s="13">
        <f>[5]Feuil1!$E$6</f>
        <v>2.0002999999996199E-4</v>
      </c>
      <c r="G71" s="13">
        <f>[5]Feuil1!$F$6</f>
        <v>2.1632377302200856E-2</v>
      </c>
      <c r="H71" s="13">
        <f>[5]Feuil1!$G$6</f>
        <v>6.631954500000063</v>
      </c>
      <c r="I71" s="13">
        <f>[5]Feuil1!$H$6</f>
        <v>0.46239152199999917</v>
      </c>
      <c r="J71" s="13">
        <f>[5]Feuil1!$I$6</f>
        <v>1.57250120999999</v>
      </c>
      <c r="K71" s="13">
        <f>[5]Feuil1!$J$6</f>
        <v>0.124861709999999</v>
      </c>
      <c r="L71" s="13">
        <f>[5]Feuil1!$K$6</f>
        <v>0.38424489554624386</v>
      </c>
      <c r="M71" s="13">
        <f>[5]Feuil1!$L$6</f>
        <v>4.2925055555555849</v>
      </c>
      <c r="N71" s="13">
        <f>[5]Feuil1!$M$6</f>
        <v>60</v>
      </c>
      <c r="O71" s="14">
        <f>[5]Feuil1!$N$6</f>
        <v>0.96666666666666667</v>
      </c>
      <c r="P71" s="11">
        <f t="shared" si="24"/>
        <v>1.7503555499999961</v>
      </c>
      <c r="Q71" s="11"/>
      <c r="R71" s="11"/>
      <c r="T71" s="4">
        <f t="shared" si="25"/>
        <v>0.54737466859795503</v>
      </c>
      <c r="U71" s="4">
        <f t="shared" si="26"/>
        <v>0.54737466859795503</v>
      </c>
    </row>
    <row r="72" spans="1:23" x14ac:dyDescent="0.2">
      <c r="B72" s="1">
        <f>[5]Feuil1!$A$15</f>
        <v>0.22500000000000001</v>
      </c>
      <c r="C72" s="14">
        <f>[5]Feuil1!$B$15</f>
        <v>0.68333333333333335</v>
      </c>
      <c r="D72" s="13">
        <f>[5]Feuil1!$C$15</f>
        <v>1.777285439024389E-2</v>
      </c>
      <c r="E72" s="13">
        <f>[5]Feuil1!$D$15</f>
        <v>6.7086989999999902E-2</v>
      </c>
      <c r="F72" s="13">
        <f>[5]Feuil1!$E$15</f>
        <v>5.5789999999999999E-5</v>
      </c>
      <c r="G72" s="13">
        <f>[5]Feuil1!$F$15</f>
        <v>1.8177353256788559E-2</v>
      </c>
      <c r="H72" s="13">
        <f>[5]Feuil1!$G$15</f>
        <v>6.7349563414633877</v>
      </c>
      <c r="I72" s="13">
        <f>[5]Feuil1!$H$15</f>
        <v>0.45889719421052588</v>
      </c>
      <c r="J72" s="13">
        <f>[5]Feuil1!$I$15</f>
        <v>1.52554335</v>
      </c>
      <c r="K72" s="13">
        <f>[5]Feuil1!$J$15</f>
        <v>0.10040238</v>
      </c>
      <c r="L72" s="13">
        <f>[5]Feuil1!$K$15</f>
        <v>0.35882528465831698</v>
      </c>
      <c r="M72" s="13">
        <f>[5]Feuil1!$L$15</f>
        <v>3.7412176470588374</v>
      </c>
      <c r="N72" s="13">
        <f>[5]Feuil1!$M$15</f>
        <v>60</v>
      </c>
      <c r="O72" s="14">
        <f>[5]Feuil1!$N$15</f>
        <v>0.96666666666666667</v>
      </c>
      <c r="P72" s="11">
        <f t="shared" si="24"/>
        <v>1.7772854390243891</v>
      </c>
      <c r="Q72" s="11"/>
      <c r="R72" s="11"/>
      <c r="T72" s="4">
        <f t="shared" si="25"/>
        <v>0.45995049808558541</v>
      </c>
      <c r="U72" s="4">
        <f t="shared" si="26"/>
        <v>0.45995049808558541</v>
      </c>
    </row>
    <row r="73" spans="1:23" x14ac:dyDescent="0.2">
      <c r="B73" s="1">
        <f>[5]Feuil1!$A$7</f>
        <v>0.25</v>
      </c>
      <c r="C73" s="14">
        <f>[5]Feuil1!$B$7</f>
        <v>0.66666666666666663</v>
      </c>
      <c r="D73" s="13">
        <f>[5]Feuil1!$C$7</f>
        <v>1.644372149999996E-2</v>
      </c>
      <c r="E73" s="13">
        <f>[5]Feuil1!$D$7</f>
        <v>7.7955570000000002E-2</v>
      </c>
      <c r="F73" s="13">
        <f>[5]Feuil1!$E$7</f>
        <v>2.9200000000173502E-6</v>
      </c>
      <c r="G73" s="13">
        <f>[5]Feuil1!$F$7</f>
        <v>2.0014273149803509E-2</v>
      </c>
      <c r="H73" s="13">
        <f>[5]Feuil1!$G$7</f>
        <v>5.707149999999916</v>
      </c>
      <c r="I73" s="13">
        <f>[5]Feuil1!$H$7</f>
        <v>0.43675936049999969</v>
      </c>
      <c r="J73" s="13">
        <f>[5]Feuil1!$I$7</f>
        <v>1.4320707500000001</v>
      </c>
      <c r="K73" s="13">
        <f>[5]Feuil1!$J$7</f>
        <v>0.13080544</v>
      </c>
      <c r="L73" s="13">
        <f>[5]Feuil1!$K$7</f>
        <v>0.34577877920937877</v>
      </c>
      <c r="M73" s="13">
        <f>[5]Feuil1!$L$7</f>
        <v>2.7246666666666046</v>
      </c>
      <c r="N73" s="13">
        <f>[5]Feuil1!$M$7</f>
        <v>60</v>
      </c>
      <c r="O73" s="14">
        <f>[5]Feuil1!$N$7</f>
        <v>0.96666666666666667</v>
      </c>
      <c r="P73" s="11">
        <f t="shared" si="24"/>
        <v>1.6443721499999959</v>
      </c>
      <c r="Q73" s="11"/>
      <c r="R73" s="11"/>
      <c r="T73" s="4">
        <f t="shared" si="25"/>
        <v>0.50643098442481693</v>
      </c>
      <c r="U73" s="4">
        <f t="shared" si="26"/>
        <v>0.50643098442481693</v>
      </c>
    </row>
    <row r="74" spans="1:23" x14ac:dyDescent="0.2">
      <c r="B74" s="1">
        <f>[5]Feuil1!$A$8</f>
        <v>0.3</v>
      </c>
      <c r="C74" s="14">
        <f>[5]Feuil1!$B$8</f>
        <v>0.65</v>
      </c>
      <c r="D74" s="13">
        <f>[5]Feuil1!$C$8</f>
        <v>1.8468815384615374E-2</v>
      </c>
      <c r="E74" s="13">
        <f>[5]Feuil1!$D$8</f>
        <v>7.8778829999999994E-2</v>
      </c>
      <c r="F74" s="13">
        <f>[5]Feuil1!$E$8</f>
        <v>4.0487000000001501E-4</v>
      </c>
      <c r="G74" s="13">
        <f>[5]Feuil1!$F$8</f>
        <v>2.2363058857542865E-2</v>
      </c>
      <c r="H74" s="13">
        <f>[5]Feuil1!$G$8</f>
        <v>5.3951802564102351</v>
      </c>
      <c r="I74" s="13">
        <f>[5]Feuil1!$H$8</f>
        <v>0.42750976285714243</v>
      </c>
      <c r="J74" s="13">
        <f>[5]Feuil1!$I$8</f>
        <v>1.1276481700000001</v>
      </c>
      <c r="K74" s="13">
        <f>[5]Feuil1!$J$8</f>
        <v>0.10463552999999901</v>
      </c>
      <c r="L74" s="13">
        <f>[5]Feuil1!$K$8</f>
        <v>0.30484689811035043</v>
      </c>
      <c r="M74" s="13">
        <f>[5]Feuil1!$L$8</f>
        <v>2.2005894736841545</v>
      </c>
      <c r="N74" s="13">
        <f>[5]Feuil1!$M$8</f>
        <v>60</v>
      </c>
      <c r="O74" s="14">
        <f>[5]Feuil1!$N$8</f>
        <v>0.96666666666666667</v>
      </c>
      <c r="P74" s="11">
        <f t="shared" si="24"/>
        <v>1.8468815384615374</v>
      </c>
      <c r="Q74" s="11"/>
      <c r="R74" s="11"/>
      <c r="T74" s="4">
        <f t="shared" si="25"/>
        <v>0.56586346290006251</v>
      </c>
      <c r="U74" s="4">
        <f t="shared" si="26"/>
        <v>0.56586346290006251</v>
      </c>
    </row>
    <row r="75" spans="1:23" x14ac:dyDescent="0.2">
      <c r="B75" s="1">
        <f>[5]Feuil1!$A$9</f>
        <v>0.35</v>
      </c>
      <c r="C75" s="14">
        <f>[5]Feuil1!$B$9</f>
        <v>0.6</v>
      </c>
      <c r="D75" s="13">
        <f>[5]Feuil1!$C$9</f>
        <v>2.3875682777777761E-2</v>
      </c>
      <c r="E75" s="13">
        <f>[5]Feuil1!$D$9</f>
        <v>9.9592240000000096E-2</v>
      </c>
      <c r="F75" s="13">
        <f>[5]Feuil1!$E$9</f>
        <v>8.6319999999973004E-5</v>
      </c>
      <c r="G75" s="13">
        <f>[5]Feuil1!$F$9</f>
        <v>2.9826218776699571E-2</v>
      </c>
      <c r="H75" s="13">
        <f>[5]Feuil1!$G$9</f>
        <v>5.4655114285714079</v>
      </c>
      <c r="I75" s="13">
        <f>[5]Feuil1!$H$9</f>
        <v>0.47318986416666614</v>
      </c>
      <c r="J75" s="13">
        <f>[5]Feuil1!$I$9</f>
        <v>1.18353956999999</v>
      </c>
      <c r="K75" s="13">
        <f>[5]Feuil1!$J$9</f>
        <v>0.119086649999999</v>
      </c>
      <c r="L75" s="13">
        <f>[5]Feuil1!$K$9</f>
        <v>0.2881934121109066</v>
      </c>
      <c r="M75" s="13">
        <f>[5]Feuil1!$L$9</f>
        <v>1.7986050000000564</v>
      </c>
      <c r="N75" s="13">
        <f>[5]Feuil1!$M$9</f>
        <v>60</v>
      </c>
      <c r="O75" s="14">
        <f>[5]Feuil1!$N$9</f>
        <v>0.91666666666666663</v>
      </c>
      <c r="P75" s="11">
        <f t="shared" si="24"/>
        <v>2.3875682777777762</v>
      </c>
      <c r="Q75" s="11"/>
      <c r="R75" s="11"/>
      <c r="T75" s="4">
        <f t="shared" si="25"/>
        <v>0.75470746420297641</v>
      </c>
      <c r="U75" s="4">
        <f t="shared" si="26"/>
        <v>0.75470746420297641</v>
      </c>
    </row>
    <row r="76" spans="1:23" x14ac:dyDescent="0.2">
      <c r="B76" s="1">
        <f>[5]Feuil1!$A$10</f>
        <v>0.4</v>
      </c>
      <c r="C76" s="14">
        <f>[5]Feuil1!$B$10</f>
        <v>0.51666666666666672</v>
      </c>
      <c r="D76" s="13">
        <f>[5]Feuil1!$C$10</f>
        <v>1.9059674193548381E-2</v>
      </c>
      <c r="E76" s="13">
        <f>[5]Feuil1!$D$10</f>
        <v>9.8410640000000202E-2</v>
      </c>
      <c r="F76" s="13">
        <f>[5]Feuil1!$E$10</f>
        <v>3.60350000000009E-4</v>
      </c>
      <c r="G76" s="13">
        <f>[5]Feuil1!$F$10</f>
        <v>2.7477620910371609E-2</v>
      </c>
      <c r="H76" s="13">
        <f>[5]Feuil1!$G$10</f>
        <v>5.3095333333333858</v>
      </c>
      <c r="I76" s="13">
        <f>[5]Feuil1!$H$10</f>
        <v>0.51097902586206867</v>
      </c>
      <c r="J76" s="13">
        <f>[5]Feuil1!$I$10</f>
        <v>1.2218385199999999</v>
      </c>
      <c r="K76" s="13">
        <f>[5]Feuil1!$J$10</f>
        <v>0.10105631</v>
      </c>
      <c r="L76" s="13">
        <f>[5]Feuil1!$K$10</f>
        <v>0.32782480958364207</v>
      </c>
      <c r="M76" s="13">
        <f>[5]Feuil1!$L$10</f>
        <v>1.6873636363635944</v>
      </c>
      <c r="N76" s="13">
        <f>[5]Feuil1!$M$10</f>
        <v>60</v>
      </c>
      <c r="O76" s="14">
        <f>[5]Feuil1!$N$10</f>
        <v>0.8666666666666667</v>
      </c>
      <c r="P76" s="11">
        <f t="shared" si="24"/>
        <v>1.9059674193548382</v>
      </c>
      <c r="Q76" s="11"/>
      <c r="R76" s="11"/>
      <c r="T76" s="4">
        <f t="shared" si="25"/>
        <v>0.69527973877123017</v>
      </c>
      <c r="U76" s="4">
        <f t="shared" si="26"/>
        <v>0.69527973877123017</v>
      </c>
    </row>
    <row r="77" spans="1:23" x14ac:dyDescent="0.2">
      <c r="B77" s="1">
        <f>[5]Feuil1!$A$11</f>
        <v>0.5</v>
      </c>
      <c r="C77" s="14">
        <f>[5]Feuil1!$B$11</f>
        <v>0.43333333333333335</v>
      </c>
      <c r="D77" s="13">
        <f>[5]Feuil1!$C$11</f>
        <v>2.0979206923076903E-2</v>
      </c>
      <c r="E77" s="13">
        <f>[5]Feuil1!$D$11</f>
        <v>7.952099E-2</v>
      </c>
      <c r="F77" s="13">
        <f>[5]Feuil1!$E$11</f>
        <v>3.9750000000004998E-5</v>
      </c>
      <c r="G77" s="13">
        <f>[5]Feuil1!$F$11</f>
        <v>2.6626485233117152E-2</v>
      </c>
      <c r="H77" s="13">
        <f>[5]Feuil1!$G$11</f>
        <v>4.6962721739130391</v>
      </c>
      <c r="I77" s="13">
        <f>[5]Feuil1!$H$11</f>
        <v>0.55230465882352886</v>
      </c>
      <c r="J77" s="13">
        <f>[5]Feuil1!$I$11</f>
        <v>1.3059414</v>
      </c>
      <c r="K77" s="13">
        <f>[5]Feuil1!$J$11</f>
        <v>0.1110529</v>
      </c>
      <c r="L77" s="13">
        <f>[5]Feuil1!$K$11</f>
        <v>0.35604722048405091</v>
      </c>
      <c r="M77" s="13">
        <f>[5]Feuil1!$L$11</f>
        <v>1.8878964705882215</v>
      </c>
      <c r="N77" s="13">
        <f>[5]Feuil1!$M$11</f>
        <v>60</v>
      </c>
      <c r="O77" s="14">
        <f>[5]Feuil1!$N$11</f>
        <v>0.66666666666666663</v>
      </c>
      <c r="P77" s="11">
        <f t="shared" si="24"/>
        <v>2.0979206923076905</v>
      </c>
      <c r="Q77" s="11"/>
      <c r="R77" s="11"/>
      <c r="T77" s="4">
        <f t="shared" si="25"/>
        <v>0.67374303465588281</v>
      </c>
      <c r="U77" s="4">
        <f t="shared" si="26"/>
        <v>0.67374303465588281</v>
      </c>
    </row>
    <row r="78" spans="1:23" x14ac:dyDescent="0.2">
      <c r="B78" s="1">
        <f>[5]Feuil1!$A$12</f>
        <v>0.75</v>
      </c>
      <c r="C78" s="14">
        <f>[5]Feuil1!$B$12</f>
        <v>0.16666666666666666</v>
      </c>
      <c r="D78" s="13">
        <f>[5]Feuil1!$C$12</f>
        <v>4.0705816999999957E-2</v>
      </c>
      <c r="E78" s="13">
        <f>[5]Feuil1!$D$12</f>
        <v>7.9580499999999998E-2</v>
      </c>
      <c r="F78" s="13">
        <f>[5]Feuil1!$E$12</f>
        <v>1.0103620000000001E-2</v>
      </c>
      <c r="G78" s="13">
        <f>[5]Feuil1!$F$12</f>
        <v>2.3882327588237971E-2</v>
      </c>
      <c r="H78" s="13">
        <f>[5]Feuil1!$G$12</f>
        <v>4.1039999999999202</v>
      </c>
      <c r="I78" s="13">
        <f>[5]Feuil1!$H$12</f>
        <v>0.6752290769999989</v>
      </c>
      <c r="J78" s="13">
        <f>[5]Feuil1!$I$12</f>
        <v>1.4831742800000001</v>
      </c>
      <c r="K78" s="13">
        <f>[5]Feuil1!$J$12</f>
        <v>0.14935606999999901</v>
      </c>
      <c r="L78" s="13">
        <f>[5]Feuil1!$K$12</f>
        <v>0.39077350756728685</v>
      </c>
      <c r="M78" s="13">
        <f>[5]Feuil1!$L$12</f>
        <v>0.66400000000021397</v>
      </c>
      <c r="N78" s="13">
        <f>[5]Feuil1!$M$12</f>
        <v>60</v>
      </c>
      <c r="O78" s="14">
        <f>[5]Feuil1!$N$12</f>
        <v>0.05</v>
      </c>
      <c r="P78" s="11">
        <f t="shared" si="24"/>
        <v>4.0705816999999955</v>
      </c>
      <c r="Q78" s="11"/>
      <c r="R78" s="11"/>
      <c r="T78" s="4">
        <f t="shared" si="25"/>
        <v>0.60430626585038183</v>
      </c>
      <c r="U78" s="4">
        <f t="shared" si="26"/>
        <v>0.60430626585038183</v>
      </c>
    </row>
    <row r="79" spans="1:23" x14ac:dyDescent="0.2">
      <c r="B79" s="1">
        <f>[5]Feuil1!$A$13</f>
        <v>1</v>
      </c>
      <c r="C79" s="14" t="e">
        <f>[5]Feuil1!$B$13</f>
        <v>#DIV/0!</v>
      </c>
      <c r="D79" s="13" t="e">
        <f>[5]Feuil1!$C$13</f>
        <v>#DIV/0!</v>
      </c>
      <c r="E79" s="13">
        <f>[5]Feuil1!$D$13</f>
        <v>0</v>
      </c>
      <c r="F79" s="13">
        <f>[5]Feuil1!$E$13</f>
        <v>0</v>
      </c>
      <c r="G79" s="13" t="e">
        <f>[5]Feuil1!$F$13</f>
        <v>#DIV/0!</v>
      </c>
      <c r="H79" s="13" t="e">
        <f>[5]Feuil1!$G$13</f>
        <v>#DIV/0!</v>
      </c>
      <c r="I79" s="13" t="e">
        <f>[5]Feuil1!$H$13</f>
        <v>#DIV/0!</v>
      </c>
      <c r="J79" s="13">
        <f>[5]Feuil1!$I$13</f>
        <v>0</v>
      </c>
      <c r="K79" s="13">
        <f>[5]Feuil1!$J$13</f>
        <v>0</v>
      </c>
      <c r="L79" s="13" t="e">
        <f>[5]Feuil1!$K$13</f>
        <v>#DIV/0!</v>
      </c>
      <c r="M79" s="13" t="e">
        <f>[5]Feuil1!$L$13</f>
        <v>#DIV/0!</v>
      </c>
      <c r="N79" s="13">
        <f>[5]Feuil1!$M$13</f>
        <v>0</v>
      </c>
      <c r="O79" s="14" t="e">
        <f>[5]Feuil1!$N$13</f>
        <v>#VALUE!</v>
      </c>
      <c r="P79" s="11" t="e">
        <f t="shared" ref="P79" si="27">D79*100</f>
        <v>#DIV/0!</v>
      </c>
      <c r="Q79" s="11"/>
      <c r="R79" s="11"/>
      <c r="T79" s="4" t="e">
        <f t="shared" ref="T79" si="28" xml:space="preserve"> 1.96 * (G79*100)/SQRT(N79)</f>
        <v>#DIV/0!</v>
      </c>
      <c r="U79" s="4" t="e">
        <f t="shared" ref="U79" si="29">1.96 * (G79*100)/SQRT(N79)</f>
        <v>#DIV/0!</v>
      </c>
    </row>
    <row r="80" spans="1:23" x14ac:dyDescent="0.2">
      <c r="B80" s="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D81" t="s">
        <v>23</v>
      </c>
      <c r="E81" t="s">
        <v>24</v>
      </c>
      <c r="F81" t="s">
        <v>25</v>
      </c>
      <c r="G81" t="s">
        <v>26</v>
      </c>
      <c r="H81" t="s">
        <v>29</v>
      </c>
      <c r="I81" t="s">
        <v>27</v>
      </c>
      <c r="K81" t="s">
        <v>30</v>
      </c>
      <c r="L81" t="s">
        <v>28</v>
      </c>
      <c r="M81" t="s">
        <v>31</v>
      </c>
      <c r="O81" t="s">
        <v>32</v>
      </c>
      <c r="P81" t="s">
        <v>22</v>
      </c>
      <c r="S81" t="s">
        <v>34</v>
      </c>
      <c r="T81" t="s">
        <v>35</v>
      </c>
    </row>
    <row r="82" spans="1:20" x14ac:dyDescent="0.2">
      <c r="A82" t="s">
        <v>19</v>
      </c>
      <c r="B82" s="2">
        <v>0</v>
      </c>
      <c r="C82" s="7">
        <f t="shared" ref="C82:C95" si="30">AVERAGE(C66,C50,C34,C18,C2)</f>
        <v>0.76666666666666672</v>
      </c>
      <c r="D82">
        <f t="shared" ref="D82:D95" si="31">AVERAGE(G2,G18,G34,G50,G66)*100</f>
        <v>1.9037390090245347</v>
      </c>
      <c r="E82">
        <f t="shared" ref="E82:E95" si="32">N2+N18+N34+N50+N66</f>
        <v>300</v>
      </c>
      <c r="F82">
        <f xml:space="preserve"> 1.96*D82/SQRT(E82)</f>
        <v>0.21542834894811286</v>
      </c>
      <c r="G82">
        <f xml:space="preserve"> 1.96*D82/SQRT(E82)</f>
        <v>0.21542834894811286</v>
      </c>
      <c r="H82">
        <f t="shared" ref="H82:H95" si="33">MIN(H2,H18,H34,H50,H66)</f>
        <v>5.4078084210526214</v>
      </c>
      <c r="I82">
        <f t="shared" ref="I82:I95" si="34">AVERAGE(H2,H18,H34,H50,H66)</f>
        <v>5.9651243729309096</v>
      </c>
      <c r="J82">
        <f t="shared" ref="J82:J95" si="35">MAX(H2,H18,H34,H50,H66)</f>
        <v>6.8859429268292525</v>
      </c>
      <c r="K82">
        <f t="shared" ref="K82:K95" si="36">MIN(M2,M18,M34,M50,M66)</f>
        <v>2.4221999999999699</v>
      </c>
      <c r="L82">
        <f t="shared" ref="L82:L95" si="37">AVERAGE(M2,M18,M34,M50,M66)</f>
        <v>3.3788767002801037</v>
      </c>
      <c r="M82">
        <f t="shared" ref="M82:M95" si="38">MAX(M2,M18,M34,M50,M66)</f>
        <v>4.072866666666668</v>
      </c>
      <c r="O82" s="8">
        <f t="shared" ref="O82:O95" si="39">AVERAGE(O2,O18,O34,O50,O66)</f>
        <v>0.97666666666666657</v>
      </c>
      <c r="P82" s="10">
        <f t="shared" ref="P82:P95" si="40">AVERAGE(P66,P50,P34,P18,P2)</f>
        <v>1.5163410228667764</v>
      </c>
      <c r="Q82" s="10"/>
      <c r="R82" s="10"/>
      <c r="S82">
        <f>PerUser!$L$26*T82/SQRT(5)</f>
        <v>0.17719394670811958</v>
      </c>
      <c r="T82">
        <f>STDEV(C66,C50,C34,C18,C2)</f>
        <v>0.15411035007422422</v>
      </c>
    </row>
    <row r="83" spans="1:20" x14ac:dyDescent="0.2">
      <c r="B83" s="2">
        <v>0.05</v>
      </c>
      <c r="C83" s="7">
        <f t="shared" si="30"/>
        <v>0.77333333333333332</v>
      </c>
      <c r="D83">
        <f t="shared" si="31"/>
        <v>1.8534477364420647</v>
      </c>
      <c r="E83">
        <f t="shared" si="32"/>
        <v>300</v>
      </c>
      <c r="F83">
        <f t="shared" ref="F83:F94" si="41" xml:space="preserve"> 1.96*D83/SQRT(E83)</f>
        <v>0.20973735571449079</v>
      </c>
      <c r="G83">
        <f t="shared" ref="G83:G94" si="42" xml:space="preserve"> 1.96*D83/SQRT(E83)</f>
        <v>0.20973735571449079</v>
      </c>
      <c r="H83">
        <f t="shared" si="33"/>
        <v>5.2523788461538725</v>
      </c>
      <c r="I83">
        <f t="shared" si="34"/>
        <v>5.8651407659580777</v>
      </c>
      <c r="J83">
        <f t="shared" si="35"/>
        <v>6.3588837837837557</v>
      </c>
      <c r="K83">
        <f t="shared" si="36"/>
        <v>2.2783999999999098</v>
      </c>
      <c r="L83">
        <f t="shared" si="37"/>
        <v>3.4545536633366369</v>
      </c>
      <c r="M83">
        <f t="shared" si="38"/>
        <v>4.5900846153846642</v>
      </c>
      <c r="O83" s="8">
        <f t="shared" si="39"/>
        <v>0.97333333333333327</v>
      </c>
      <c r="P83" s="10">
        <f t="shared" si="40"/>
        <v>1.475574062858634</v>
      </c>
      <c r="Q83" s="10"/>
      <c r="R83" s="10"/>
      <c r="S83">
        <f>PerUser!$L$26*T83/SQRT(5)</f>
        <v>0.17904943130320225</v>
      </c>
      <c r="T83">
        <f t="shared" ref="T83:T94" si="43">STDEV(C67,C51,C35,C19,C3)</f>
        <v>0.15572411502397471</v>
      </c>
    </row>
    <row r="84" spans="1:20" x14ac:dyDescent="0.2">
      <c r="B84" s="2">
        <v>0.1</v>
      </c>
      <c r="C84" s="7">
        <f t="shared" si="30"/>
        <v>0.79666666666666663</v>
      </c>
      <c r="D84">
        <f t="shared" si="31"/>
        <v>2.0276269812921326</v>
      </c>
      <c r="E84">
        <f t="shared" si="32"/>
        <v>300</v>
      </c>
      <c r="F84">
        <f t="shared" si="41"/>
        <v>0.22944759275917154</v>
      </c>
      <c r="G84">
        <f t="shared" si="42"/>
        <v>0.22944759275917154</v>
      </c>
      <c r="H84">
        <f t="shared" si="33"/>
        <v>5.6016021052631606</v>
      </c>
      <c r="I84">
        <f t="shared" si="34"/>
        <v>6.0325514167791168</v>
      </c>
      <c r="J84">
        <f t="shared" si="35"/>
        <v>6.4990822222221833</v>
      </c>
      <c r="K84">
        <f t="shared" si="36"/>
        <v>2.2320000000001898</v>
      </c>
      <c r="L84">
        <f t="shared" si="37"/>
        <v>3.5234659473684573</v>
      </c>
      <c r="M84">
        <f t="shared" si="38"/>
        <v>4.6002166666666602</v>
      </c>
      <c r="O84" s="8">
        <f t="shared" si="39"/>
        <v>0.96666666666666656</v>
      </c>
      <c r="P84" s="10">
        <f t="shared" si="40"/>
        <v>1.6058247975032365</v>
      </c>
      <c r="Q84" s="10"/>
      <c r="R84" s="10"/>
      <c r="S84">
        <f>PerUser!$L$26*T84/SQRT(5)</f>
        <v>0.16339284301951523</v>
      </c>
      <c r="T84">
        <f t="shared" si="43"/>
        <v>0.14210715831528123</v>
      </c>
    </row>
    <row r="85" spans="1:20" x14ac:dyDescent="0.2">
      <c r="B85" s="2">
        <v>0.15</v>
      </c>
      <c r="C85" s="7">
        <f t="shared" si="30"/>
        <v>0.79666666666666663</v>
      </c>
      <c r="D85">
        <f t="shared" si="31"/>
        <v>2.2088814390693203</v>
      </c>
      <c r="E85">
        <f t="shared" si="32"/>
        <v>300</v>
      </c>
      <c r="F85">
        <f t="shared" si="41"/>
        <v>0.24995846551710943</v>
      </c>
      <c r="G85">
        <f t="shared" si="42"/>
        <v>0.24995846551710943</v>
      </c>
      <c r="H85">
        <f t="shared" si="33"/>
        <v>5.2002105263157183</v>
      </c>
      <c r="I85">
        <f t="shared" si="34"/>
        <v>6.4684934929211666</v>
      </c>
      <c r="J85">
        <f t="shared" si="35"/>
        <v>9.4658648648649031</v>
      </c>
      <c r="K85">
        <f t="shared" si="36"/>
        <v>2.1759999999997</v>
      </c>
      <c r="L85">
        <f t="shared" si="37"/>
        <v>3.3837446616540534</v>
      </c>
      <c r="M85">
        <f t="shared" si="38"/>
        <v>4.5408999999998434</v>
      </c>
      <c r="O85" s="8">
        <f t="shared" si="39"/>
        <v>0.96333333333333326</v>
      </c>
      <c r="P85" s="10">
        <f t="shared" si="40"/>
        <v>1.7813591739160763</v>
      </c>
      <c r="Q85" s="10"/>
      <c r="R85" s="10"/>
      <c r="S85">
        <f>PerUser!$L$26*T85/SQRT(5)</f>
        <v>0.1672797265062331</v>
      </c>
      <c r="T85">
        <f t="shared" si="43"/>
        <v>0.14548768561863501</v>
      </c>
    </row>
    <row r="86" spans="1:20" x14ac:dyDescent="0.2">
      <c r="B86" s="12">
        <v>0.17499999999999999</v>
      </c>
      <c r="C86" s="7">
        <f t="shared" si="30"/>
        <v>0.80999999999999994</v>
      </c>
      <c r="D86">
        <f t="shared" si="31"/>
        <v>2.1019736716531519</v>
      </c>
      <c r="E86">
        <f t="shared" si="32"/>
        <v>300</v>
      </c>
      <c r="F86">
        <f xml:space="preserve"> 1.96*D86/SQRT(E86)</f>
        <v>0.23786071277105683</v>
      </c>
      <c r="G86">
        <f xml:space="preserve"> 1.96*D86/SQRT(E86)</f>
        <v>0.23786071277105683</v>
      </c>
      <c r="H86">
        <f t="shared" si="33"/>
        <v>6.2284212280701636</v>
      </c>
      <c r="I86">
        <f t="shared" si="34"/>
        <v>7.0240140248007474</v>
      </c>
      <c r="J86">
        <f>MAX(H6,H22,H38,H54,H70)</f>
        <v>7.8997997499999988</v>
      </c>
      <c r="K86">
        <f t="shared" si="36"/>
        <v>2.5276400000000141</v>
      </c>
      <c r="L86">
        <f t="shared" si="37"/>
        <v>3.9932293784907835</v>
      </c>
      <c r="M86">
        <f t="shared" si="38"/>
        <v>5.280845454545454</v>
      </c>
      <c r="O86" s="8">
        <f t="shared" si="39"/>
        <v>0.95666666666666667</v>
      </c>
      <c r="P86" s="10">
        <f>AVERAGE(P70,P54,P38,P22,P6)</f>
        <v>1.8245773110379986</v>
      </c>
      <c r="Q86" s="10">
        <f>STDEV(P70,P54,P38,P22,P6)</f>
        <v>0.64896387565713454</v>
      </c>
      <c r="R86" s="10"/>
      <c r="S86">
        <f>PerUser!$L$26*T86/SQRT(5)</f>
        <v>0.14942305578457457</v>
      </c>
      <c r="T86">
        <f t="shared" si="43"/>
        <v>0.12995725793078644</v>
      </c>
    </row>
    <row r="87" spans="1:20" x14ac:dyDescent="0.2">
      <c r="B87" s="2">
        <v>0.2</v>
      </c>
      <c r="C87" s="7">
        <f t="shared" si="30"/>
        <v>0.79825136612021852</v>
      </c>
      <c r="D87">
        <f t="shared" si="31"/>
        <v>1.9749761308685561</v>
      </c>
      <c r="E87">
        <f t="shared" si="32"/>
        <v>302</v>
      </c>
      <c r="F87">
        <f t="shared" si="41"/>
        <v>0.22274832711593406</v>
      </c>
      <c r="G87">
        <f t="shared" si="42"/>
        <v>0.22274832711593406</v>
      </c>
      <c r="H87">
        <f t="shared" si="33"/>
        <v>5.985776785714215</v>
      </c>
      <c r="I87">
        <f t="shared" si="34"/>
        <v>6.5529410074347325</v>
      </c>
      <c r="J87">
        <f t="shared" si="35"/>
        <v>6.9404347826087003</v>
      </c>
      <c r="K87">
        <f t="shared" si="36"/>
        <v>3.36999999999989</v>
      </c>
      <c r="L87">
        <f t="shared" si="37"/>
        <v>3.9929946608946389</v>
      </c>
      <c r="M87">
        <f t="shared" si="38"/>
        <v>5.0950272727272585</v>
      </c>
      <c r="O87" s="8">
        <f t="shared" si="39"/>
        <v>0.94710382513661207</v>
      </c>
      <c r="P87" s="10">
        <f t="shared" si="40"/>
        <v>1.7887113301512834</v>
      </c>
      <c r="Q87" s="10">
        <f>2.571*Q86/5</f>
        <v>0.3336972248628986</v>
      </c>
      <c r="R87" s="10"/>
      <c r="S87">
        <f>PerUser!$L$26*T87/SQRT(5)</f>
        <v>0.14699609105151845</v>
      </c>
      <c r="T87">
        <f t="shared" si="43"/>
        <v>0.12784646130608471</v>
      </c>
    </row>
    <row r="88" spans="1:20" x14ac:dyDescent="0.2">
      <c r="B88" s="2">
        <v>0.22500000000000001</v>
      </c>
      <c r="C88" s="7">
        <f t="shared" si="30"/>
        <v>0.80666666666666664</v>
      </c>
      <c r="D88">
        <f t="shared" si="31"/>
        <v>1.8549326853099859</v>
      </c>
      <c r="E88">
        <f t="shared" si="32"/>
        <v>300</v>
      </c>
      <c r="F88">
        <f xml:space="preserve"> 1.96*D88/SQRT(E88)</f>
        <v>0.20990539349770171</v>
      </c>
      <c r="G88">
        <f xml:space="preserve"> 1.96*D88/SQRT(E88)</f>
        <v>0.20990539349770171</v>
      </c>
      <c r="H88">
        <f t="shared" si="33"/>
        <v>6.338751923076912</v>
      </c>
      <c r="I88">
        <f t="shared" si="34"/>
        <v>7.1491213685013859</v>
      </c>
      <c r="J88">
        <f t="shared" si="35"/>
        <v>8.4643428571428387</v>
      </c>
      <c r="K88">
        <f t="shared" si="36"/>
        <v>2.5059800000000418</v>
      </c>
      <c r="L88">
        <f t="shared" si="37"/>
        <v>3.6690493071895078</v>
      </c>
      <c r="M88">
        <f t="shared" si="38"/>
        <v>5.1643599999999266</v>
      </c>
      <c r="O88" s="8">
        <f t="shared" si="39"/>
        <v>0.94666666666666666</v>
      </c>
      <c r="P88" s="10">
        <f t="shared" si="40"/>
        <v>1.7492040077191717</v>
      </c>
      <c r="Q88" s="10"/>
      <c r="R88" s="10"/>
      <c r="S88">
        <f>PerUser!$L$26*T88/SQRT(5)</f>
        <v>0.16010081230274931</v>
      </c>
      <c r="T88">
        <f t="shared" si="43"/>
        <v>0.13924399049470326</v>
      </c>
    </row>
    <row r="89" spans="1:20" x14ac:dyDescent="0.2">
      <c r="B89" s="2">
        <v>0.25</v>
      </c>
      <c r="C89" s="7">
        <f t="shared" si="30"/>
        <v>0.79666666666666663</v>
      </c>
      <c r="D89">
        <f t="shared" si="31"/>
        <v>1.98635934672644</v>
      </c>
      <c r="E89">
        <f t="shared" si="32"/>
        <v>300</v>
      </c>
      <c r="F89">
        <f t="shared" si="41"/>
        <v>0.22477772029380849</v>
      </c>
      <c r="G89">
        <f t="shared" si="42"/>
        <v>0.22477772029380849</v>
      </c>
      <c r="H89">
        <f t="shared" si="33"/>
        <v>4.8544363636363714</v>
      </c>
      <c r="I89">
        <f t="shared" si="34"/>
        <v>6.2195252822966225</v>
      </c>
      <c r="J89">
        <f t="shared" si="35"/>
        <v>9.6793863636363042</v>
      </c>
      <c r="K89">
        <f t="shared" si="36"/>
        <v>1.971166666666776</v>
      </c>
      <c r="L89">
        <f t="shared" si="37"/>
        <v>2.8357901960783538</v>
      </c>
      <c r="M89">
        <f t="shared" si="38"/>
        <v>4.1700000000001136</v>
      </c>
      <c r="O89" s="8">
        <f t="shared" si="39"/>
        <v>0.92999999999999994</v>
      </c>
      <c r="P89" s="10">
        <f t="shared" si="40"/>
        <v>1.6354213539186122</v>
      </c>
      <c r="Q89" s="10"/>
      <c r="R89" s="10"/>
      <c r="S89">
        <f>PerUser!$L$26*T89/SQRT(5)</f>
        <v>0.16112967495157471</v>
      </c>
      <c r="T89">
        <f t="shared" si="43"/>
        <v>0.14013882006385306</v>
      </c>
    </row>
    <row r="90" spans="1:20" x14ac:dyDescent="0.2">
      <c r="B90" s="2">
        <v>0.3</v>
      </c>
      <c r="C90" s="7">
        <f t="shared" si="30"/>
        <v>0.77666666666666662</v>
      </c>
      <c r="D90">
        <f t="shared" si="31"/>
        <v>2.0586015902538204</v>
      </c>
      <c r="E90">
        <f t="shared" si="32"/>
        <v>300</v>
      </c>
      <c r="F90">
        <f t="shared" si="41"/>
        <v>0.23295269972829802</v>
      </c>
      <c r="G90">
        <f t="shared" si="42"/>
        <v>0.23295269972829802</v>
      </c>
      <c r="H90">
        <f t="shared" si="33"/>
        <v>4.5038973584905699</v>
      </c>
      <c r="I90">
        <f t="shared" si="34"/>
        <v>5.0629886225911189</v>
      </c>
      <c r="J90">
        <f t="shared" si="35"/>
        <v>5.4424434090908882</v>
      </c>
      <c r="K90">
        <f t="shared" si="36"/>
        <v>1.5026000000000541</v>
      </c>
      <c r="L90">
        <f t="shared" si="37"/>
        <v>2.2765801169591562</v>
      </c>
      <c r="M90">
        <f t="shared" si="38"/>
        <v>2.9142111111111975</v>
      </c>
      <c r="O90" s="8">
        <f t="shared" si="39"/>
        <v>0.92333333333333323</v>
      </c>
      <c r="P90" s="10">
        <f t="shared" si="40"/>
        <v>1.704547773533174</v>
      </c>
      <c r="Q90" s="10"/>
      <c r="R90" s="10"/>
      <c r="S90">
        <f>PerUser!$L$26*T90/SQRT(5)</f>
        <v>0.17010964287776392</v>
      </c>
      <c r="T90">
        <f t="shared" si="43"/>
        <v>0.14794894014114862</v>
      </c>
    </row>
    <row r="91" spans="1:20" x14ac:dyDescent="0.2">
      <c r="B91" s="2">
        <v>0.35</v>
      </c>
      <c r="C91" s="7">
        <f t="shared" si="30"/>
        <v>0.74</v>
      </c>
      <c r="D91">
        <f t="shared" si="31"/>
        <v>2.324020549094024</v>
      </c>
      <c r="E91">
        <f t="shared" si="32"/>
        <v>300</v>
      </c>
      <c r="F91">
        <f t="shared" si="41"/>
        <v>0.26298768236584469</v>
      </c>
      <c r="G91">
        <f t="shared" si="42"/>
        <v>0.26298768236584469</v>
      </c>
      <c r="H91">
        <f t="shared" si="33"/>
        <v>4.1317580392156694</v>
      </c>
      <c r="I91">
        <f t="shared" si="34"/>
        <v>4.7778234268795599</v>
      </c>
      <c r="J91">
        <f t="shared" si="35"/>
        <v>5.4655114285714079</v>
      </c>
      <c r="K91">
        <f t="shared" si="36"/>
        <v>1.7986050000000564</v>
      </c>
      <c r="L91">
        <f t="shared" si="37"/>
        <v>2.1007849215686081</v>
      </c>
      <c r="M91">
        <f t="shared" si="38"/>
        <v>2.4920529411763677</v>
      </c>
      <c r="O91" s="8">
        <f t="shared" si="39"/>
        <v>0.88333333333333341</v>
      </c>
      <c r="P91" s="10">
        <f t="shared" si="40"/>
        <v>2.0015073423652159</v>
      </c>
      <c r="Q91" s="10"/>
      <c r="R91" s="10"/>
      <c r="S91">
        <f>PerUser!$L$26*T91/SQRT(5)</f>
        <v>0.1841054625751225</v>
      </c>
      <c r="T91">
        <f t="shared" si="43"/>
        <v>0.16012148165967227</v>
      </c>
    </row>
    <row r="92" spans="1:20" x14ac:dyDescent="0.2">
      <c r="B92" s="2">
        <v>0.4</v>
      </c>
      <c r="C92" s="7">
        <f t="shared" si="30"/>
        <v>0.69000000000000006</v>
      </c>
      <c r="D92">
        <f t="shared" si="31"/>
        <v>2.3734147935010412</v>
      </c>
      <c r="E92">
        <f t="shared" si="32"/>
        <v>300</v>
      </c>
      <c r="F92">
        <f t="shared" si="41"/>
        <v>0.26857716730558734</v>
      </c>
      <c r="G92">
        <f t="shared" si="42"/>
        <v>0.26857716730558734</v>
      </c>
      <c r="H92">
        <f t="shared" si="33"/>
        <v>3.5845599999999802</v>
      </c>
      <c r="I92">
        <f t="shared" si="34"/>
        <v>4.2922453712121325</v>
      </c>
      <c r="J92">
        <f t="shared" si="35"/>
        <v>5.3095333333333858</v>
      </c>
      <c r="K92">
        <f t="shared" si="36"/>
        <v>1.17299999999977</v>
      </c>
      <c r="L92">
        <f t="shared" si="37"/>
        <v>1.5966937566844177</v>
      </c>
      <c r="M92">
        <f t="shared" si="38"/>
        <v>1.7096875000000553</v>
      </c>
      <c r="O92" s="8">
        <f t="shared" si="39"/>
        <v>0.84666666666666646</v>
      </c>
      <c r="P92" s="10">
        <f t="shared" si="40"/>
        <v>2.040473384739923</v>
      </c>
      <c r="Q92" s="10"/>
      <c r="R92" s="10"/>
      <c r="S92">
        <f>PerUser!$L$26*T92/SQRT(5)</f>
        <v>0.21705967693240458</v>
      </c>
      <c r="T92">
        <f t="shared" si="43"/>
        <v>0.18878264986192131</v>
      </c>
    </row>
    <row r="93" spans="1:20" x14ac:dyDescent="0.2">
      <c r="B93" s="2">
        <v>0.5</v>
      </c>
      <c r="C93" s="7">
        <f t="shared" si="30"/>
        <v>0.56333333333333324</v>
      </c>
      <c r="D93">
        <f t="shared" si="31"/>
        <v>2.5839335713817118</v>
      </c>
      <c r="E93">
        <f t="shared" si="32"/>
        <v>300</v>
      </c>
      <c r="F93">
        <f t="shared" si="41"/>
        <v>0.2923996096290471</v>
      </c>
      <c r="G93">
        <f t="shared" si="42"/>
        <v>0.2923996096290471</v>
      </c>
      <c r="H93">
        <f t="shared" si="33"/>
        <v>2.4799929411764761</v>
      </c>
      <c r="I93">
        <f t="shared" si="34"/>
        <v>3.7143367375927996</v>
      </c>
      <c r="J93">
        <f t="shared" si="35"/>
        <v>4.6962721739130391</v>
      </c>
      <c r="K93">
        <f t="shared" si="36"/>
        <v>1.0189999999999999</v>
      </c>
      <c r="L93">
        <f t="shared" si="37"/>
        <v>1.4798771988795478</v>
      </c>
      <c r="M93">
        <f t="shared" si="38"/>
        <v>1.9451328571428526</v>
      </c>
      <c r="O93" s="8">
        <f t="shared" si="39"/>
        <v>0.59666666666666657</v>
      </c>
      <c r="P93" s="10">
        <f t="shared" si="40"/>
        <v>2.1860250141176847</v>
      </c>
      <c r="Q93" s="10"/>
      <c r="R93" s="10"/>
      <c r="S93">
        <f>PerUser!$L$26*T93/SQRT(5)</f>
        <v>0.28242018589328932</v>
      </c>
      <c r="T93">
        <f t="shared" si="43"/>
        <v>0.24562844569254069</v>
      </c>
    </row>
    <row r="94" spans="1:20" x14ac:dyDescent="0.2">
      <c r="B94" s="2">
        <v>0.75</v>
      </c>
      <c r="C94" s="7">
        <f t="shared" si="30"/>
        <v>0.35333333333333333</v>
      </c>
      <c r="D94">
        <f t="shared" si="31"/>
        <v>2.6878997167054197</v>
      </c>
      <c r="E94">
        <f t="shared" si="32"/>
        <v>300</v>
      </c>
      <c r="F94">
        <f t="shared" si="41"/>
        <v>0.30416448649894018</v>
      </c>
      <c r="G94">
        <f t="shared" si="42"/>
        <v>0.30416448649894018</v>
      </c>
      <c r="H94" t="e">
        <f t="shared" si="33"/>
        <v>#DIV/0!</v>
      </c>
      <c r="I94" t="e">
        <f t="shared" si="34"/>
        <v>#DIV/0!</v>
      </c>
      <c r="J94" t="e">
        <f t="shared" si="35"/>
        <v>#DIV/0!</v>
      </c>
      <c r="K94" t="e">
        <f t="shared" si="36"/>
        <v>#DIV/0!</v>
      </c>
      <c r="L94" t="e">
        <f t="shared" si="37"/>
        <v>#DIV/0!</v>
      </c>
      <c r="M94" t="e">
        <f t="shared" si="38"/>
        <v>#DIV/0!</v>
      </c>
      <c r="O94" s="8">
        <f t="shared" si="39"/>
        <v>4.6666666666666669E-2</v>
      </c>
      <c r="P94" s="10">
        <f t="shared" si="40"/>
        <v>3.6951949947712395</v>
      </c>
      <c r="Q94" s="10"/>
      <c r="R94" s="10"/>
      <c r="S94">
        <f>PerUser!$L$26*T94/SQRT(5)</f>
        <v>0.42014856556937086</v>
      </c>
      <c r="T94">
        <f t="shared" si="43"/>
        <v>0.36541452869005869</v>
      </c>
    </row>
    <row r="95" spans="1:20" x14ac:dyDescent="0.2">
      <c r="B95" s="2">
        <v>1</v>
      </c>
      <c r="C95" s="7" t="e">
        <f t="shared" si="30"/>
        <v>#DIV/0!</v>
      </c>
      <c r="D95" t="e">
        <f t="shared" si="31"/>
        <v>#DIV/0!</v>
      </c>
      <c r="E95">
        <f t="shared" si="32"/>
        <v>0</v>
      </c>
      <c r="F95" t="e">
        <f t="shared" ref="F95" si="44" xml:space="preserve"> 1.96*D95/SQRT(E95)</f>
        <v>#DIV/0!</v>
      </c>
      <c r="G95" t="e">
        <f t="shared" ref="G95" si="45" xml:space="preserve"> 1.96*D95/SQRT(E95)</f>
        <v>#DIV/0!</v>
      </c>
      <c r="H95" t="e">
        <f t="shared" si="33"/>
        <v>#DIV/0!</v>
      </c>
      <c r="I95" t="e">
        <f t="shared" si="34"/>
        <v>#DIV/0!</v>
      </c>
      <c r="J95" t="e">
        <f t="shared" si="35"/>
        <v>#DIV/0!</v>
      </c>
      <c r="K95" t="e">
        <f t="shared" si="36"/>
        <v>#DIV/0!</v>
      </c>
      <c r="L95" t="e">
        <f t="shared" si="37"/>
        <v>#DIV/0!</v>
      </c>
      <c r="M95" t="e">
        <f t="shared" si="38"/>
        <v>#DIV/0!</v>
      </c>
      <c r="O95" s="8" t="e">
        <f t="shared" si="39"/>
        <v>#VALUE!</v>
      </c>
      <c r="P95" s="10" t="e">
        <f t="shared" si="40"/>
        <v>#DIV/0!</v>
      </c>
      <c r="Q95" s="10"/>
      <c r="R95" s="10"/>
      <c r="S95">
        <f>PerUser!$L$26*T95/SQRT(5)</f>
        <v>0</v>
      </c>
    </row>
    <row r="96" spans="1:20" x14ac:dyDescent="0.2">
      <c r="B96" s="12"/>
      <c r="C96" s="4"/>
      <c r="D96" s="4"/>
      <c r="E96" s="4"/>
      <c r="F96" s="4"/>
      <c r="G96" s="4"/>
      <c r="H96" s="4"/>
      <c r="I96" s="4"/>
      <c r="J96" s="4"/>
      <c r="K96" s="4"/>
      <c r="L96" s="4"/>
      <c r="M96" s="5"/>
      <c r="P96" s="4"/>
      <c r="Q96" s="4"/>
      <c r="R96" s="4"/>
    </row>
    <row r="97" spans="2:18" x14ac:dyDescent="0.2">
      <c r="C97" s="4"/>
      <c r="D97" s="4"/>
      <c r="E97" s="4"/>
      <c r="F97" s="4"/>
      <c r="G97" s="4"/>
      <c r="H97" s="4"/>
      <c r="I97" s="4"/>
      <c r="J97" s="4"/>
      <c r="K97" s="4"/>
      <c r="L97" s="4"/>
      <c r="M97" s="5"/>
      <c r="P97" s="4"/>
      <c r="Q97" s="4"/>
      <c r="R97" s="4"/>
    </row>
    <row r="98" spans="2:18" x14ac:dyDescent="0.2">
      <c r="C98" s="4"/>
      <c r="D98" s="4"/>
      <c r="E98" s="4"/>
      <c r="F98" s="4"/>
      <c r="G98" s="4"/>
      <c r="H98" s="4"/>
      <c r="I98" s="4"/>
      <c r="J98" s="4">
        <f>STDEV(H6,H22,H38,H54,H70)</f>
        <v>0.62046365114083324</v>
      </c>
      <c r="K98" s="4"/>
      <c r="L98" s="4"/>
      <c r="M98" s="5"/>
      <c r="P98" s="4"/>
      <c r="Q98" s="4"/>
      <c r="R98" s="4"/>
    </row>
    <row r="99" spans="2:18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5"/>
      <c r="P99" s="4"/>
      <c r="Q99" s="4"/>
      <c r="R99" s="4"/>
    </row>
    <row r="100" spans="2:18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  <c r="P100" s="4"/>
      <c r="Q100" s="4"/>
      <c r="R100" s="4"/>
    </row>
    <row r="101" spans="2:18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"/>
      <c r="P101" s="4"/>
      <c r="Q101" s="4"/>
      <c r="R101" s="4"/>
    </row>
    <row r="102" spans="2:18" x14ac:dyDescent="0.2">
      <c r="B102" t="s">
        <v>33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"/>
      <c r="P102" s="4"/>
      <c r="Q102" s="4"/>
      <c r="R102" s="4"/>
    </row>
    <row r="103" spans="2:18" x14ac:dyDescent="0.2">
      <c r="B103">
        <v>845</v>
      </c>
      <c r="C103" s="4">
        <f>B103/60</f>
        <v>14.083333333333334</v>
      </c>
      <c r="D103" s="4"/>
      <c r="E103" s="4"/>
      <c r="F103" s="4"/>
      <c r="G103" s="4"/>
      <c r="H103" s="4"/>
      <c r="I103" s="4"/>
      <c r="J103" s="4"/>
      <c r="K103" s="4"/>
      <c r="L103" s="4"/>
      <c r="M103" s="5"/>
      <c r="P103" s="4"/>
      <c r="Q103" s="4"/>
      <c r="R103" s="4"/>
    </row>
    <row r="104" spans="2:18" x14ac:dyDescent="0.2">
      <c r="B104">
        <v>865</v>
      </c>
      <c r="C104" s="4">
        <f t="shared" ref="C104:C108" si="46">B104/60</f>
        <v>14.416666666666666</v>
      </c>
      <c r="D104" s="4"/>
      <c r="E104" s="4"/>
      <c r="F104" s="4"/>
      <c r="G104" s="4"/>
      <c r="H104" s="4"/>
      <c r="I104" s="4"/>
      <c r="J104" s="4"/>
      <c r="K104" s="4"/>
      <c r="L104" s="4"/>
      <c r="M104" s="5"/>
      <c r="P104" s="4"/>
      <c r="Q104" s="4"/>
      <c r="R104" s="4"/>
    </row>
    <row r="105" spans="2:18" x14ac:dyDescent="0.2">
      <c r="B105">
        <v>750</v>
      </c>
      <c r="C105" s="4">
        <f t="shared" si="46"/>
        <v>12.5</v>
      </c>
      <c r="D105" s="4"/>
      <c r="E105" s="4"/>
      <c r="F105" s="4"/>
      <c r="G105" s="4"/>
      <c r="H105" s="4"/>
      <c r="I105" s="4"/>
      <c r="J105" s="4"/>
      <c r="K105" s="4"/>
      <c r="L105" s="4"/>
      <c r="M105" s="5"/>
      <c r="P105" s="4"/>
      <c r="Q105" s="4"/>
      <c r="R105" s="4"/>
    </row>
    <row r="106" spans="2:18" x14ac:dyDescent="0.2">
      <c r="B106">
        <v>465</v>
      </c>
      <c r="C106" s="4">
        <f t="shared" si="46"/>
        <v>7.75</v>
      </c>
    </row>
    <row r="107" spans="2:18" x14ac:dyDescent="0.2">
      <c r="B107">
        <v>586</v>
      </c>
      <c r="C107" s="4">
        <f t="shared" si="46"/>
        <v>9.7666666666666675</v>
      </c>
    </row>
    <row r="108" spans="2:18" x14ac:dyDescent="0.2">
      <c r="B108">
        <v>628</v>
      </c>
      <c r="C108" s="4">
        <f t="shared" si="46"/>
        <v>10.466666666666667</v>
      </c>
    </row>
    <row r="109" spans="2:18" x14ac:dyDescent="0.2">
      <c r="C109" s="4">
        <f>AVERAGE(C103:C108)</f>
        <v>11.497222222222222</v>
      </c>
    </row>
    <row r="110" spans="2:18" x14ac:dyDescent="0.2">
      <c r="C110" s="4">
        <f>STDEV(C103:C108)</f>
        <v>2.6197416468606796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3DBD-0FFE-3F4B-A2C5-9E11DFA150A3}">
  <dimension ref="A1:P32"/>
  <sheetViews>
    <sheetView workbookViewId="0">
      <selection activeCell="I15" sqref="I15"/>
    </sheetView>
  </sheetViews>
  <sheetFormatPr baseColWidth="10" defaultRowHeight="16" x14ac:dyDescent="0.2"/>
  <cols>
    <col min="2" max="2" width="28.1640625" bestFit="1" customWidth="1"/>
    <col min="10" max="10" width="18.1640625" bestFit="1" customWidth="1"/>
    <col min="11" max="11" width="23.33203125" customWidth="1"/>
    <col min="12" max="12" width="11.5" customWidth="1"/>
  </cols>
  <sheetData>
    <row r="1" spans="1:16" ht="17" thickBot="1" x14ac:dyDescent="0.25"/>
    <row r="2" spans="1:16" ht="17" thickBot="1" x14ac:dyDescent="0.25">
      <c r="B2" s="18" t="s">
        <v>75</v>
      </c>
      <c r="C2" s="25" t="s">
        <v>76</v>
      </c>
      <c r="D2" s="25" t="s">
        <v>77</v>
      </c>
      <c r="E2" s="25" t="s">
        <v>78</v>
      </c>
      <c r="F2" s="19" t="s">
        <v>79</v>
      </c>
    </row>
    <row r="3" spans="1:16" x14ac:dyDescent="0.2">
      <c r="A3" s="2">
        <v>0.17499999999999999</v>
      </c>
      <c r="B3" s="4">
        <v>90</v>
      </c>
      <c r="C3" s="4">
        <v>100</v>
      </c>
      <c r="D3" s="4">
        <v>90</v>
      </c>
      <c r="E3" s="4">
        <v>100</v>
      </c>
      <c r="F3" s="4">
        <v>80</v>
      </c>
      <c r="G3" s="4">
        <v>80</v>
      </c>
    </row>
    <row r="4" spans="1:16" x14ac:dyDescent="0.2">
      <c r="A4" s="2">
        <v>0.17499999999999999</v>
      </c>
      <c r="B4" s="4">
        <v>92</v>
      </c>
      <c r="C4" s="4">
        <v>90</v>
      </c>
      <c r="D4" s="4">
        <v>100</v>
      </c>
      <c r="E4" s="4">
        <v>80</v>
      </c>
      <c r="F4" s="4">
        <v>100</v>
      </c>
      <c r="G4" s="4">
        <v>90</v>
      </c>
    </row>
    <row r="5" spans="1:16" x14ac:dyDescent="0.2">
      <c r="A5" s="2">
        <v>0.17499999999999999</v>
      </c>
      <c r="B5" s="4">
        <v>96</v>
      </c>
      <c r="C5" s="4">
        <v>100</v>
      </c>
      <c r="D5" s="4">
        <v>90</v>
      </c>
      <c r="E5" s="4">
        <v>100</v>
      </c>
      <c r="F5" s="4">
        <v>100</v>
      </c>
      <c r="G5" s="4">
        <v>90</v>
      </c>
    </row>
    <row r="6" spans="1:16" x14ac:dyDescent="0.2">
      <c r="A6" s="2">
        <v>0.17499999999999999</v>
      </c>
      <c r="B6" s="4">
        <v>96</v>
      </c>
      <c r="C6" s="4">
        <v>100</v>
      </c>
      <c r="D6" s="4">
        <v>100</v>
      </c>
      <c r="E6" s="4">
        <v>80</v>
      </c>
      <c r="F6" s="4">
        <v>100</v>
      </c>
      <c r="G6" s="4">
        <v>100</v>
      </c>
    </row>
    <row r="7" spans="1:16" x14ac:dyDescent="0.2">
      <c r="A7" s="2">
        <v>0.17499999999999999</v>
      </c>
      <c r="B7" s="4">
        <v>100</v>
      </c>
      <c r="C7" s="4">
        <v>100</v>
      </c>
      <c r="D7" s="4">
        <v>100</v>
      </c>
      <c r="E7" s="4">
        <v>100</v>
      </c>
      <c r="F7" s="4">
        <v>100</v>
      </c>
      <c r="G7" s="4">
        <v>100</v>
      </c>
    </row>
    <row r="8" spans="1:16" x14ac:dyDescent="0.2">
      <c r="A8" s="2">
        <v>0.17499999999999999</v>
      </c>
      <c r="B8" s="4">
        <v>98</v>
      </c>
      <c r="C8" s="4">
        <v>100</v>
      </c>
      <c r="D8" s="4">
        <v>90</v>
      </c>
      <c r="E8" s="4">
        <v>100</v>
      </c>
      <c r="F8" s="4">
        <v>100</v>
      </c>
      <c r="G8" s="4">
        <v>100</v>
      </c>
    </row>
    <row r="9" spans="1:16" ht="17" thickBot="1" x14ac:dyDescent="0.25"/>
    <row r="10" spans="1:16" ht="17" thickBot="1" x14ac:dyDescent="0.25">
      <c r="C10" s="18" t="s">
        <v>75</v>
      </c>
      <c r="D10" s="25" t="s">
        <v>76</v>
      </c>
      <c r="E10" s="25" t="s">
        <v>77</v>
      </c>
      <c r="F10" s="25" t="s">
        <v>78</v>
      </c>
      <c r="G10" s="19" t="s">
        <v>79</v>
      </c>
      <c r="L10" s="18" t="s">
        <v>75</v>
      </c>
      <c r="M10" s="25" t="s">
        <v>76</v>
      </c>
      <c r="N10" s="25" t="s">
        <v>77</v>
      </c>
      <c r="O10" s="25" t="s">
        <v>78</v>
      </c>
      <c r="P10" s="19" t="s">
        <v>79</v>
      </c>
    </row>
    <row r="11" spans="1:16" ht="35" thickBot="1" x14ac:dyDescent="0.25">
      <c r="B11" s="20" t="s">
        <v>66</v>
      </c>
      <c r="C11" s="31">
        <f t="shared" ref="C11:G11" si="0">AVERAGE(C3:C8)</f>
        <v>98.333333333333329</v>
      </c>
      <c r="D11" s="32">
        <f t="shared" si="0"/>
        <v>95</v>
      </c>
      <c r="E11" s="32">
        <f t="shared" si="0"/>
        <v>93.333333333333329</v>
      </c>
      <c r="F11" s="32">
        <f t="shared" si="0"/>
        <v>96.666666666666671</v>
      </c>
      <c r="G11" s="33">
        <f t="shared" si="0"/>
        <v>93.333333333333329</v>
      </c>
      <c r="K11" s="34" t="s">
        <v>83</v>
      </c>
      <c r="L11" s="36" t="s">
        <v>85</v>
      </c>
      <c r="M11" s="37" t="s">
        <v>86</v>
      </c>
      <c r="N11" s="37" t="s">
        <v>87</v>
      </c>
      <c r="O11" s="37" t="s">
        <v>88</v>
      </c>
      <c r="P11" s="38" t="s">
        <v>89</v>
      </c>
    </row>
    <row r="12" spans="1:16" ht="44" customHeight="1" thickBot="1" x14ac:dyDescent="0.25">
      <c r="B12" s="17" t="s">
        <v>82</v>
      </c>
      <c r="C12" s="21">
        <f>STDEV(C3:C8)*$C$20/6</f>
        <v>1.7493439246376534</v>
      </c>
      <c r="D12" s="27">
        <f>STDEV(D3:D8)*$C$20/6</f>
        <v>2.3469911589096371</v>
      </c>
      <c r="E12" s="27">
        <f>STDEV(E3:E8)*$C$20/6</f>
        <v>4.4255289702663516</v>
      </c>
      <c r="F12" s="27">
        <f>STDEV(F3:F8)*$C$20/6</f>
        <v>3.4986878492753064</v>
      </c>
      <c r="G12" s="22">
        <f>STDEV(G3:G8)*$C$20/6</f>
        <v>3.4986878492753064</v>
      </c>
      <c r="K12" s="35" t="s">
        <v>84</v>
      </c>
      <c r="L12" s="36" t="s">
        <v>90</v>
      </c>
      <c r="M12" s="37" t="s">
        <v>91</v>
      </c>
      <c r="N12" s="37" t="s">
        <v>92</v>
      </c>
      <c r="O12" s="37" t="s">
        <v>93</v>
      </c>
      <c r="P12" s="38" t="s">
        <v>94</v>
      </c>
    </row>
    <row r="13" spans="1:16" ht="17" thickBot="1" x14ac:dyDescent="0.25">
      <c r="B13" s="20" t="s">
        <v>80</v>
      </c>
      <c r="C13" s="31">
        <f>C28*100</f>
        <v>0.38014952542372871</v>
      </c>
      <c r="D13" s="32">
        <f>C32*100</f>
        <v>0.7073701</v>
      </c>
      <c r="E13" s="32">
        <f>C30*100</f>
        <v>0.64445410000000003</v>
      </c>
      <c r="F13" s="32">
        <f>C26*100</f>
        <v>1.010385224137931</v>
      </c>
      <c r="G13" s="33">
        <f>C24*100</f>
        <v>1.1998068000000002</v>
      </c>
      <c r="K13" s="20"/>
      <c r="L13" s="31"/>
      <c r="M13" s="32"/>
      <c r="N13" s="32"/>
      <c r="O13" s="32"/>
      <c r="P13" s="33"/>
    </row>
    <row r="14" spans="1:16" ht="17" thickBot="1" x14ac:dyDescent="0.25">
      <c r="B14" s="17" t="s">
        <v>81</v>
      </c>
      <c r="C14" s="21">
        <f>F28*100</f>
        <v>1.3717301059745597</v>
      </c>
      <c r="D14" s="27">
        <f>F32*100</f>
        <v>1.687999</v>
      </c>
      <c r="E14" s="27">
        <f>F30*100</f>
        <v>1.6170279999999999</v>
      </c>
      <c r="F14" s="27">
        <f>F26*100</f>
        <v>1.8396840769619152</v>
      </c>
      <c r="G14" s="22">
        <f>F24*100</f>
        <v>2.1953960000000001</v>
      </c>
      <c r="K14" s="17"/>
      <c r="L14" s="21"/>
      <c r="M14" s="27"/>
      <c r="N14" s="27"/>
      <c r="O14" s="27"/>
      <c r="P14" s="22"/>
    </row>
    <row r="20" spans="1:16" x14ac:dyDescent="0.2">
      <c r="C20">
        <f>2.571</f>
        <v>2.5710000000000002</v>
      </c>
    </row>
    <row r="23" spans="1:16" x14ac:dyDescent="0.2">
      <c r="A23" t="s">
        <v>79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  <c r="L23" s="2" t="s">
        <v>12</v>
      </c>
      <c r="M23" s="2" t="s">
        <v>13</v>
      </c>
      <c r="N23" s="2" t="s">
        <v>14</v>
      </c>
    </row>
    <row r="24" spans="1:16" x14ac:dyDescent="0.2">
      <c r="A24" s="2">
        <v>0.17499999999999999</v>
      </c>
      <c r="B24" s="3">
        <v>0.93</v>
      </c>
      <c r="C24" s="4">
        <v>1.1998068000000001E-2</v>
      </c>
      <c r="D24" s="4">
        <v>8.0597530000000001E-2</v>
      </c>
      <c r="E24" s="4">
        <v>0</v>
      </c>
      <c r="F24" s="4">
        <v>2.1953960000000002E-2</v>
      </c>
      <c r="G24" s="4">
        <v>6.3409945499999996</v>
      </c>
      <c r="H24" s="4">
        <v>0.36522155000000001</v>
      </c>
      <c r="I24" s="4">
        <v>0.81619662000000004</v>
      </c>
      <c r="J24" s="4">
        <v>0.11134891</v>
      </c>
      <c r="K24" s="4">
        <v>0.31033844900000002</v>
      </c>
      <c r="L24" s="4">
        <v>2.281425</v>
      </c>
      <c r="M24" s="4">
        <v>60</v>
      </c>
      <c r="N24" s="9">
        <v>0.98299999999999998</v>
      </c>
      <c r="P24">
        <f>M24*(1-B24)</f>
        <v>4.1999999999999975</v>
      </c>
    </row>
    <row r="25" spans="1:16" x14ac:dyDescent="0.2">
      <c r="A25" t="s">
        <v>78</v>
      </c>
    </row>
    <row r="26" spans="1:16" x14ac:dyDescent="0.2">
      <c r="A26" s="2">
        <v>0.17499999999999999</v>
      </c>
      <c r="B26" s="3">
        <f>[6]Feuil1!$S$4</f>
        <v>0.96666666666666667</v>
      </c>
      <c r="C26" s="4">
        <f>[6]Feuil1!$U$2</f>
        <v>1.0103852241379309E-2</v>
      </c>
      <c r="D26" s="4">
        <f>[6]Feuil1!$U$4</f>
        <v>8.8304919999999995E-2</v>
      </c>
      <c r="E26" s="4">
        <f>[6]Feuil1!$U$6</f>
        <v>0</v>
      </c>
      <c r="F26" s="4">
        <f>[6]Feuil1!$U$8</f>
        <v>1.8396840769619151E-2</v>
      </c>
      <c r="G26" s="4">
        <f>[6]Feuil1!$Y$2</f>
        <v>6.471526296296271</v>
      </c>
      <c r="H26" s="4">
        <f>[6]Feuil1!$W$2</f>
        <v>0.21492484499999998</v>
      </c>
      <c r="I26" s="4">
        <f>[6]Feuil1!$W$4</f>
        <v>0.32065348999999999</v>
      </c>
      <c r="J26" s="4">
        <f>[6]Feuil1!$W$6</f>
        <v>0.10919619999999999</v>
      </c>
      <c r="K26" s="4">
        <f>[6]Feuil1!$W$8</f>
        <v>0.14952288369033037</v>
      </c>
      <c r="L26" s="4">
        <f>[6]Feuil1!$AA$2</f>
        <v>2.41405</v>
      </c>
      <c r="M26" s="4">
        <f>SUM([6]Feuil1!$S$2:$S$3)</f>
        <v>60</v>
      </c>
      <c r="N26" s="5">
        <f>COUNTIF([6]Feuil1!$M:$M,1)/M26</f>
        <v>0.93333333333333335</v>
      </c>
      <c r="P26">
        <f t="shared" ref="P26:P32" si="1">M26*(1-B26)</f>
        <v>1.9999999999999996</v>
      </c>
    </row>
    <row r="27" spans="1:16" x14ac:dyDescent="0.2">
      <c r="A27" t="s">
        <v>75</v>
      </c>
    </row>
    <row r="28" spans="1:16" x14ac:dyDescent="0.2">
      <c r="A28" s="2">
        <v>0.17499999999999999</v>
      </c>
      <c r="B28" s="3">
        <f>[7]Feuil1!$S$4</f>
        <v>0.98333333333333328</v>
      </c>
      <c r="C28" s="4">
        <f>[7]Feuil1!$U$2</f>
        <v>3.8014952542372868E-3</v>
      </c>
      <c r="D28" s="4">
        <f>[7]Feuil1!$U$4</f>
        <v>7.2444510000000101E-2</v>
      </c>
      <c r="E28" s="4">
        <f>[7]Feuil1!$U$6</f>
        <v>0</v>
      </c>
      <c r="F28" s="4">
        <f>[7]Feuil1!$U$8</f>
        <v>1.3717301059745597E-2</v>
      </c>
      <c r="G28" s="4">
        <f>[7]Feuil1!$Y$2</f>
        <v>6.2180914035087538</v>
      </c>
      <c r="H28" s="4">
        <f>[7]Feuil1!$W$2</f>
        <v>0.12560621</v>
      </c>
      <c r="I28" s="4">
        <f>[7]Feuil1!$W$4</f>
        <v>0.12560621</v>
      </c>
      <c r="J28" s="4">
        <f>[7]Feuil1!$W$6</f>
        <v>0.12560621</v>
      </c>
      <c r="K28" s="4" t="e">
        <f>[7]Feuil1!$W$8</f>
        <v>#DIV/0!</v>
      </c>
      <c r="L28" s="4">
        <f>[7]Feuil1!$AA$2</f>
        <v>3.4582999999999999</v>
      </c>
      <c r="M28" s="4">
        <f>SUM([7]Feuil1!$S$2:$S$3)</f>
        <v>60</v>
      </c>
      <c r="N28" s="5">
        <f>COUNTIF([7]Feuil1!$M:$M,1)/M28</f>
        <v>0.96666666666666667</v>
      </c>
      <c r="P28">
        <f t="shared" si="1"/>
        <v>1.0000000000000031</v>
      </c>
    </row>
    <row r="29" spans="1:16" x14ac:dyDescent="0.2">
      <c r="A29" t="s">
        <v>77</v>
      </c>
    </row>
    <row r="30" spans="1:16" x14ac:dyDescent="0.2">
      <c r="A30" s="2">
        <v>0.17499999999999999</v>
      </c>
      <c r="B30" s="3">
        <v>0.93</v>
      </c>
      <c r="C30" s="4">
        <v>6.4445409999999998E-3</v>
      </c>
      <c r="D30" s="4">
        <v>9.0906669999999995E-2</v>
      </c>
      <c r="E30" s="4">
        <v>0</v>
      </c>
      <c r="F30" s="4">
        <v>1.6170279999999999E-2</v>
      </c>
      <c r="G30" s="4">
        <v>6.8067573599999998</v>
      </c>
      <c r="H30" s="4">
        <v>0.20090721</v>
      </c>
      <c r="I30" s="4">
        <v>0.31809725</v>
      </c>
      <c r="J30" s="4">
        <v>0.11186448</v>
      </c>
      <c r="K30" s="4">
        <v>8.6639516999999999E-2</v>
      </c>
      <c r="L30" s="4">
        <v>4.4126525000000001</v>
      </c>
      <c r="M30" s="4">
        <v>60</v>
      </c>
      <c r="N30" s="9">
        <v>0.95</v>
      </c>
      <c r="P30">
        <f t="shared" si="1"/>
        <v>4.1999999999999975</v>
      </c>
    </row>
    <row r="31" spans="1:16" x14ac:dyDescent="0.2">
      <c r="A31" t="s">
        <v>76</v>
      </c>
    </row>
    <row r="32" spans="1:16" x14ac:dyDescent="0.2">
      <c r="A32" s="2">
        <v>0.17499999999999999</v>
      </c>
      <c r="B32" s="3">
        <v>0.95</v>
      </c>
      <c r="C32" s="4">
        <v>7.0737009999999999E-3</v>
      </c>
      <c r="D32" s="4">
        <v>8.8426610000000003E-2</v>
      </c>
      <c r="E32" s="4">
        <v>0</v>
      </c>
      <c r="F32" s="4">
        <v>1.6879990000000001E-2</v>
      </c>
      <c r="G32" s="4">
        <v>6.1973410500000004</v>
      </c>
      <c r="H32" s="4">
        <v>0.20609609000000001</v>
      </c>
      <c r="I32" s="4">
        <v>0.22248092999999999</v>
      </c>
      <c r="J32" s="4">
        <v>0.19033641000000001</v>
      </c>
      <c r="K32" s="4">
        <v>1.6081376000000001E-2</v>
      </c>
      <c r="L32" s="4">
        <v>2.9994000000000001</v>
      </c>
      <c r="M32" s="4">
        <v>60</v>
      </c>
      <c r="N32" s="9">
        <v>0.95</v>
      </c>
      <c r="P32">
        <f t="shared" si="1"/>
        <v>3.0000000000000027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A0F2-5148-7B4B-AEFA-22E6B42FB773}">
  <dimension ref="B1:M15"/>
  <sheetViews>
    <sheetView workbookViewId="0">
      <selection activeCell="C21" sqref="C21"/>
    </sheetView>
  </sheetViews>
  <sheetFormatPr baseColWidth="10" defaultRowHeight="16" x14ac:dyDescent="0.2"/>
  <cols>
    <col min="2" max="2" width="13.5" customWidth="1"/>
  </cols>
  <sheetData>
    <row r="1" spans="2:13" x14ac:dyDescent="0.2">
      <c r="B1" t="s">
        <v>67</v>
      </c>
      <c r="C1" t="s">
        <v>68</v>
      </c>
      <c r="D1" t="s">
        <v>15</v>
      </c>
      <c r="E1" t="s">
        <v>69</v>
      </c>
      <c r="F1" t="s">
        <v>70</v>
      </c>
      <c r="G1" t="s">
        <v>71</v>
      </c>
    </row>
    <row r="2" spans="2:13" x14ac:dyDescent="0.2">
      <c r="B2" t="s">
        <v>59</v>
      </c>
      <c r="C2">
        <v>6.2451933898305121E-3</v>
      </c>
      <c r="D2">
        <v>8.5225756603773614E-3</v>
      </c>
      <c r="E2">
        <v>1.0191346530612209E-2</v>
      </c>
      <c r="F2">
        <v>1.174977975609748E-2</v>
      </c>
      <c r="G2">
        <v>1.0351347317073172E-2</v>
      </c>
    </row>
    <row r="3" spans="2:13" x14ac:dyDescent="0.2">
      <c r="B3" t="s">
        <v>72</v>
      </c>
      <c r="C3">
        <v>4.4937588970277356E-3</v>
      </c>
      <c r="D3">
        <v>7.3162165404640177E-3</v>
      </c>
      <c r="E3">
        <v>8.0875941239890135E-3</v>
      </c>
      <c r="F3">
        <v>9.8121229305409129E-3</v>
      </c>
      <c r="G3">
        <v>1.0340810869602072E-2</v>
      </c>
    </row>
    <row r="5" spans="2:13" ht="17" thickBot="1" x14ac:dyDescent="0.25"/>
    <row r="6" spans="2:13" ht="17" thickBot="1" x14ac:dyDescent="0.25">
      <c r="B6" s="12"/>
      <c r="C6" s="18" t="s">
        <v>75</v>
      </c>
      <c r="D6" s="25" t="s">
        <v>76</v>
      </c>
      <c r="E6" s="25" t="s">
        <v>77</v>
      </c>
      <c r="F6" s="25" t="s">
        <v>78</v>
      </c>
      <c r="G6" s="19" t="s">
        <v>79</v>
      </c>
    </row>
    <row r="7" spans="2:13" ht="17" thickBot="1" x14ac:dyDescent="0.25">
      <c r="B7" s="30" t="s">
        <v>73</v>
      </c>
      <c r="C7" s="39">
        <f>C2*100</f>
        <v>0.62451933898305123</v>
      </c>
      <c r="D7" s="40">
        <f t="shared" ref="D7:G7" si="0">D2*100</f>
        <v>0.85225756603773617</v>
      </c>
      <c r="E7" s="40">
        <f t="shared" si="0"/>
        <v>1.0191346530612209</v>
      </c>
      <c r="F7" s="40">
        <f t="shared" si="0"/>
        <v>1.174977975609748</v>
      </c>
      <c r="G7" s="41">
        <f t="shared" si="0"/>
        <v>1.0351347317073172</v>
      </c>
      <c r="H7" s="15">
        <f>AVERAGE(C7:G7)</f>
        <v>0.94120485307981472</v>
      </c>
      <c r="J7" t="s">
        <v>53</v>
      </c>
      <c r="K7" t="s">
        <v>55</v>
      </c>
    </row>
    <row r="8" spans="2:13" ht="17" thickBot="1" x14ac:dyDescent="0.25">
      <c r="B8" s="29" t="s">
        <v>74</v>
      </c>
      <c r="C8" s="42">
        <f>C3*100</f>
        <v>0.44937588970277353</v>
      </c>
      <c r="D8" s="43">
        <f t="shared" ref="D8:G8" si="1">D3*100</f>
        <v>0.73162165404640178</v>
      </c>
      <c r="E8" s="43">
        <f t="shared" si="1"/>
        <v>0.80875941239890137</v>
      </c>
      <c r="F8" s="43">
        <f t="shared" si="1"/>
        <v>0.9812122930540913</v>
      </c>
      <c r="G8" s="44">
        <f t="shared" si="1"/>
        <v>1.0340810869602071</v>
      </c>
      <c r="H8" s="15">
        <f>AVERAGE(C8:G8)</f>
        <v>0.80101006723247503</v>
      </c>
      <c r="J8">
        <v>5</v>
      </c>
      <c r="K8">
        <v>4</v>
      </c>
    </row>
    <row r="9" spans="2:13" x14ac:dyDescent="0.2">
      <c r="M9" t="s">
        <v>57</v>
      </c>
    </row>
    <row r="10" spans="2:13" x14ac:dyDescent="0.2">
      <c r="J10" t="s">
        <v>54</v>
      </c>
      <c r="K10" t="s">
        <v>56</v>
      </c>
      <c r="M10">
        <f>H8*K11/SQRT(5)</f>
        <v>0.99442591594358609</v>
      </c>
    </row>
    <row r="11" spans="2:13" x14ac:dyDescent="0.2">
      <c r="J11">
        <f>(1-J6)/2</f>
        <v>0.5</v>
      </c>
      <c r="K11">
        <v>2.7759999999999998</v>
      </c>
    </row>
    <row r="12" spans="2:13" ht="17" thickBot="1" x14ac:dyDescent="0.25"/>
    <row r="13" spans="2:13" ht="17" thickBot="1" x14ac:dyDescent="0.25">
      <c r="B13" s="12"/>
      <c r="C13" s="18" t="s">
        <v>75</v>
      </c>
      <c r="D13" s="25" t="s">
        <v>76</v>
      </c>
      <c r="E13" s="25" t="s">
        <v>77</v>
      </c>
      <c r="F13" s="25" t="s">
        <v>78</v>
      </c>
      <c r="G13" s="19" t="s">
        <v>79</v>
      </c>
    </row>
    <row r="14" spans="2:13" ht="20" thickBot="1" x14ac:dyDescent="0.3">
      <c r="B14" s="30" t="s">
        <v>73</v>
      </c>
      <c r="C14" s="45" t="s">
        <v>95</v>
      </c>
      <c r="D14" s="46" t="s">
        <v>96</v>
      </c>
      <c r="E14" s="46" t="s">
        <v>97</v>
      </c>
      <c r="F14" s="46" t="s">
        <v>98</v>
      </c>
      <c r="G14" s="47" t="s">
        <v>97</v>
      </c>
    </row>
    <row r="15" spans="2:13" ht="20" thickBot="1" x14ac:dyDescent="0.3">
      <c r="B15" s="29" t="s">
        <v>74</v>
      </c>
      <c r="C15" s="48" t="s">
        <v>99</v>
      </c>
      <c r="D15" s="49" t="s">
        <v>100</v>
      </c>
      <c r="E15" s="49" t="s">
        <v>101</v>
      </c>
      <c r="F15" s="49" t="s">
        <v>97</v>
      </c>
      <c r="G15" s="5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9812D-0C4E-E847-8790-18DCF85F99AB}">
  <dimension ref="A1:N69"/>
  <sheetViews>
    <sheetView zoomScale="99" workbookViewId="0">
      <selection activeCell="N25" sqref="N25"/>
    </sheetView>
  </sheetViews>
  <sheetFormatPr baseColWidth="10" defaultRowHeight="16" x14ac:dyDescent="0.2"/>
  <sheetData>
    <row r="1" spans="1:13" x14ac:dyDescent="0.2">
      <c r="A1" t="s">
        <v>36</v>
      </c>
    </row>
    <row r="2" spans="1:13" x14ac:dyDescent="0.2">
      <c r="A2" s="13"/>
      <c r="B2" s="2" t="s">
        <v>37</v>
      </c>
      <c r="C2" s="2" t="s">
        <v>38</v>
      </c>
      <c r="D2" s="2" t="s">
        <v>39</v>
      </c>
      <c r="E2" s="13">
        <f>F2/60</f>
        <v>14.083333333333334</v>
      </c>
      <c r="F2">
        <v>845</v>
      </c>
      <c r="G2" s="2" t="s">
        <v>40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</row>
    <row r="3" spans="1:13" x14ac:dyDescent="0.2">
      <c r="A3" s="2">
        <v>0</v>
      </c>
      <c r="B3" s="4">
        <v>88</v>
      </c>
      <c r="C3" s="4">
        <v>7.7135062399999996E-2</v>
      </c>
      <c r="D3" s="4">
        <v>0.19712823663336701</v>
      </c>
      <c r="E3" s="13"/>
      <c r="F3" s="13"/>
      <c r="G3" s="4">
        <v>7.2140771999999904</v>
      </c>
      <c r="I3">
        <f>STDEV(B3,B15,B26,B38,B50,B61)</f>
        <v>9.5219045713904915</v>
      </c>
      <c r="J3">
        <f>AVERAGE(B3,B15,B26,B38,B50,B61)</f>
        <v>76.666666666666671</v>
      </c>
      <c r="K3">
        <f>MIN(B3,B15,B26,B38,B50,B61)</f>
        <v>64</v>
      </c>
      <c r="L3">
        <f>MAX(B3,B15,B26,B38,B50,B61)</f>
        <v>88</v>
      </c>
      <c r="M3">
        <f>1.96*I3/SQRT(COUNT(B3,B15,B26,B38,B50,B61))</f>
        <v>7.6191104759312136</v>
      </c>
    </row>
    <row r="4" spans="1:13" x14ac:dyDescent="0.2">
      <c r="A4" s="2">
        <v>0.05</v>
      </c>
      <c r="B4" s="4">
        <v>86</v>
      </c>
      <c r="C4" s="4">
        <v>7.6821081399999894E-2</v>
      </c>
      <c r="D4" s="4">
        <v>0.19103723578623799</v>
      </c>
      <c r="E4" s="13"/>
      <c r="F4" s="13"/>
      <c r="G4" s="4">
        <v>7.0799479999999804</v>
      </c>
      <c r="I4">
        <f t="shared" ref="I4:I11" si="0">STDEV(B4,B16,B27,B39,B51,B62)</f>
        <v>8.8242091241463196</v>
      </c>
      <c r="J4">
        <f t="shared" ref="J4:J11" si="1">AVERAGE(B4,B16,B27,B39,B51,B62)</f>
        <v>77.333333333333329</v>
      </c>
      <c r="K4">
        <f t="shared" ref="K4:K11" si="2">MIN(B4,B16,B27,B39,B51,B62)</f>
        <v>64</v>
      </c>
      <c r="L4">
        <f t="shared" ref="L4:L11" si="3">MAX(B4,B16,B27,B39,B51,B62)</f>
        <v>86</v>
      </c>
      <c r="M4">
        <f t="shared" ref="M4:M11" si="4">1.96*I4/SQRT(COUNT(B4,B16,B27,B39,B51,B62))</f>
        <v>7.0608378476715803</v>
      </c>
    </row>
    <row r="5" spans="1:13" x14ac:dyDescent="0.2">
      <c r="A5" s="2">
        <v>0.1</v>
      </c>
      <c r="B5" s="4">
        <v>86</v>
      </c>
      <c r="C5" s="4">
        <v>7.41609674E-2</v>
      </c>
      <c r="D5" s="4">
        <v>0.17822103727699501</v>
      </c>
      <c r="E5" s="13"/>
      <c r="F5" s="13"/>
      <c r="G5" s="4">
        <v>6.8659799999999898</v>
      </c>
      <c r="I5">
        <f t="shared" si="0"/>
        <v>6.3770421565696642</v>
      </c>
      <c r="J5">
        <f t="shared" si="1"/>
        <v>79.666666666666671</v>
      </c>
      <c r="K5">
        <f t="shared" si="2"/>
        <v>72</v>
      </c>
      <c r="L5">
        <f t="shared" si="3"/>
        <v>88</v>
      </c>
      <c r="M5">
        <f t="shared" si="4"/>
        <v>5.102696454925681</v>
      </c>
    </row>
    <row r="6" spans="1:13" x14ac:dyDescent="0.2">
      <c r="A6" s="2">
        <v>0.15</v>
      </c>
      <c r="B6" s="4">
        <v>88</v>
      </c>
      <c r="C6" s="4">
        <v>6.7704064800000005E-2</v>
      </c>
      <c r="D6" s="4">
        <v>0.155321963337994</v>
      </c>
      <c r="E6" s="13"/>
      <c r="F6" s="13"/>
      <c r="G6" s="4">
        <v>8.8887999999999998</v>
      </c>
      <c r="I6">
        <f t="shared" si="0"/>
        <v>7.312090444371341</v>
      </c>
      <c r="J6">
        <f t="shared" si="1"/>
        <v>79.666666666666671</v>
      </c>
      <c r="K6">
        <f t="shared" si="2"/>
        <v>72</v>
      </c>
      <c r="L6">
        <f t="shared" si="3"/>
        <v>88</v>
      </c>
      <c r="M6">
        <f t="shared" si="4"/>
        <v>5.8508909103182276</v>
      </c>
    </row>
    <row r="7" spans="1:13" x14ac:dyDescent="0.2">
      <c r="A7" s="2">
        <v>0.2</v>
      </c>
      <c r="B7" s="4">
        <v>86</v>
      </c>
      <c r="C7" s="4">
        <v>6.4247799799999894E-2</v>
      </c>
      <c r="D7" s="4">
        <v>0.171149883128421</v>
      </c>
      <c r="E7" s="13"/>
      <c r="F7" s="13"/>
      <c r="G7" s="4">
        <v>6.5019399999999496</v>
      </c>
      <c r="I7">
        <f t="shared" si="0"/>
        <v>6.0332412515993425</v>
      </c>
      <c r="J7">
        <f t="shared" si="1"/>
        <v>79</v>
      </c>
      <c r="K7">
        <f t="shared" si="2"/>
        <v>72</v>
      </c>
      <c r="L7">
        <f t="shared" si="3"/>
        <v>86</v>
      </c>
      <c r="M7">
        <f t="shared" si="4"/>
        <v>4.8275984367661184</v>
      </c>
    </row>
    <row r="8" spans="1:13" x14ac:dyDescent="0.2">
      <c r="A8" s="2">
        <v>0.25</v>
      </c>
      <c r="B8" s="4">
        <v>88</v>
      </c>
      <c r="C8" s="4">
        <v>4.7613137799999997E-2</v>
      </c>
      <c r="D8" s="4">
        <v>0.111373952984071</v>
      </c>
      <c r="E8" s="13"/>
      <c r="F8" s="13"/>
      <c r="G8" s="4">
        <v>9.7772199999999003</v>
      </c>
      <c r="I8">
        <f t="shared" si="0"/>
        <v>6.3770421565696642</v>
      </c>
      <c r="J8">
        <f t="shared" si="1"/>
        <v>79.666666666666671</v>
      </c>
      <c r="K8">
        <f t="shared" si="2"/>
        <v>72</v>
      </c>
      <c r="L8">
        <f t="shared" si="3"/>
        <v>88</v>
      </c>
      <c r="M8">
        <f t="shared" si="4"/>
        <v>5.102696454925681</v>
      </c>
    </row>
    <row r="9" spans="1:13" x14ac:dyDescent="0.2">
      <c r="A9" s="2">
        <v>0.3</v>
      </c>
      <c r="B9" s="4">
        <v>88</v>
      </c>
      <c r="C9" s="4">
        <v>6.28471902E-2</v>
      </c>
      <c r="D9" s="4">
        <v>0.16680293770726601</v>
      </c>
      <c r="E9" s="13"/>
      <c r="F9" s="13"/>
      <c r="G9" s="4">
        <v>6.0053311999999899</v>
      </c>
      <c r="I9">
        <f t="shared" si="0"/>
        <v>8.1404340588611532</v>
      </c>
      <c r="J9">
        <f t="shared" si="1"/>
        <v>77.666666666666671</v>
      </c>
      <c r="K9">
        <f t="shared" si="2"/>
        <v>70</v>
      </c>
      <c r="L9">
        <f t="shared" si="3"/>
        <v>88</v>
      </c>
      <c r="M9">
        <f t="shared" si="4"/>
        <v>6.5137038448011886</v>
      </c>
    </row>
    <row r="10" spans="1:13" x14ac:dyDescent="0.2">
      <c r="A10" s="2">
        <v>0.35</v>
      </c>
      <c r="B10" s="4">
        <v>86</v>
      </c>
      <c r="C10" s="4">
        <v>6.3135803399999996E-2</v>
      </c>
      <c r="D10" s="4">
        <v>0.123720166885522</v>
      </c>
      <c r="E10" s="13"/>
      <c r="F10" s="13"/>
      <c r="G10" s="4">
        <v>6.0860399999999704</v>
      </c>
      <c r="I10">
        <f t="shared" si="0"/>
        <v>9.5498691090506576</v>
      </c>
      <c r="J10">
        <f t="shared" si="1"/>
        <v>74</v>
      </c>
      <c r="K10">
        <f t="shared" si="2"/>
        <v>66</v>
      </c>
      <c r="L10">
        <f t="shared" si="3"/>
        <v>86</v>
      </c>
      <c r="M10">
        <f t="shared" si="4"/>
        <v>7.6414867663302282</v>
      </c>
    </row>
    <row r="11" spans="1:13" x14ac:dyDescent="0.2">
      <c r="A11" s="2">
        <v>0.4</v>
      </c>
      <c r="B11" s="4">
        <v>82</v>
      </c>
      <c r="C11" s="4">
        <v>7.8870803000000003E-2</v>
      </c>
      <c r="D11" s="4">
        <v>0.18419369426867199</v>
      </c>
      <c r="E11" s="13"/>
      <c r="F11" s="13"/>
      <c r="G11" s="4">
        <v>4.9171399999999803</v>
      </c>
      <c r="I11">
        <f t="shared" si="0"/>
        <v>8.1731266966810203</v>
      </c>
      <c r="J11">
        <f t="shared" si="1"/>
        <v>69</v>
      </c>
      <c r="K11">
        <f t="shared" si="2"/>
        <v>60</v>
      </c>
      <c r="L11">
        <f t="shared" si="3"/>
        <v>82</v>
      </c>
      <c r="M11">
        <f t="shared" si="4"/>
        <v>6.53986340326259</v>
      </c>
    </row>
    <row r="13" spans="1:13" x14ac:dyDescent="0.2">
      <c r="A13" s="2" t="s">
        <v>41</v>
      </c>
    </row>
    <row r="14" spans="1:13" x14ac:dyDescent="0.2">
      <c r="A14" s="13"/>
      <c r="B14" s="2" t="s">
        <v>37</v>
      </c>
      <c r="C14" s="2" t="s">
        <v>38</v>
      </c>
      <c r="D14" s="2" t="s">
        <v>39</v>
      </c>
      <c r="E14" s="13">
        <f>F14/60</f>
        <v>14.416666666666666</v>
      </c>
      <c r="F14">
        <v>865</v>
      </c>
      <c r="G14" s="2" t="s">
        <v>40</v>
      </c>
    </row>
    <row r="15" spans="1:13" x14ac:dyDescent="0.2">
      <c r="A15" s="2">
        <v>0</v>
      </c>
      <c r="B15" s="4">
        <v>86</v>
      </c>
      <c r="C15" s="4">
        <v>7.8949698400000004E-2</v>
      </c>
      <c r="D15" s="4">
        <v>0.22044489946450599</v>
      </c>
      <c r="E15" s="28">
        <v>0.88</v>
      </c>
      <c r="F15" s="13"/>
      <c r="G15" s="4">
        <v>7.8015623999999804</v>
      </c>
    </row>
    <row r="16" spans="1:13" x14ac:dyDescent="0.2">
      <c r="A16" s="2">
        <v>0.05</v>
      </c>
      <c r="B16" s="4">
        <v>86</v>
      </c>
      <c r="C16" s="4">
        <v>7.7141340399999994E-2</v>
      </c>
      <c r="D16" s="4">
        <v>0.217843807754587</v>
      </c>
      <c r="E16" s="13"/>
      <c r="F16" s="13"/>
      <c r="G16" s="4">
        <v>7.2587880000000098</v>
      </c>
    </row>
    <row r="17" spans="1:14" x14ac:dyDescent="0.2">
      <c r="A17" s="2">
        <v>0.1</v>
      </c>
      <c r="B17" s="4">
        <v>88</v>
      </c>
      <c r="C17" s="4">
        <v>7.3694717399999901E-2</v>
      </c>
      <c r="D17" s="4">
        <v>0.21186770913012601</v>
      </c>
      <c r="E17" s="13"/>
      <c r="F17" s="13"/>
      <c r="G17" s="4">
        <v>9.2057152000000002</v>
      </c>
    </row>
    <row r="18" spans="1:14" x14ac:dyDescent="0.2">
      <c r="A18" s="2">
        <v>0.15</v>
      </c>
      <c r="B18" s="4">
        <v>88</v>
      </c>
      <c r="C18" s="4">
        <v>6.6169452199999895E-2</v>
      </c>
      <c r="D18" s="4">
        <v>0.18284925422439699</v>
      </c>
      <c r="E18" s="13"/>
      <c r="F18" s="13"/>
      <c r="G18" s="4">
        <v>9.1361800000000102</v>
      </c>
    </row>
    <row r="19" spans="1:14" x14ac:dyDescent="0.2">
      <c r="A19" s="2">
        <v>0.2</v>
      </c>
      <c r="B19" s="4">
        <v>84</v>
      </c>
      <c r="C19" s="4">
        <v>6.7821608000000005E-2</v>
      </c>
      <c r="D19" s="4">
        <v>0.17494996926832401</v>
      </c>
      <c r="E19" s="13"/>
      <c r="F19" s="13"/>
      <c r="G19" s="4">
        <v>8.3018800000000095</v>
      </c>
      <c r="K19" t="s">
        <v>51</v>
      </c>
    </row>
    <row r="20" spans="1:14" x14ac:dyDescent="0.2">
      <c r="A20" s="2">
        <v>0.25</v>
      </c>
      <c r="B20" s="4">
        <v>86</v>
      </c>
      <c r="C20" s="4">
        <v>7.2625824199999994E-2</v>
      </c>
      <c r="D20" s="4">
        <v>0.18505959265026001</v>
      </c>
      <c r="E20" s="13"/>
      <c r="F20" s="13"/>
      <c r="G20" s="4">
        <v>7.49546000000006</v>
      </c>
      <c r="K20" t="s">
        <v>52</v>
      </c>
    </row>
    <row r="21" spans="1:14" x14ac:dyDescent="0.2">
      <c r="A21" s="2">
        <v>0.3</v>
      </c>
      <c r="B21" s="4">
        <v>86</v>
      </c>
      <c r="C21" s="4">
        <v>5.8965722199999897E-2</v>
      </c>
      <c r="D21" s="4">
        <v>0.156006294126599</v>
      </c>
      <c r="E21" s="13"/>
      <c r="F21" s="13"/>
      <c r="G21" s="4">
        <v>6.2943599999999904</v>
      </c>
      <c r="K21">
        <v>0.95</v>
      </c>
    </row>
    <row r="22" spans="1:14" x14ac:dyDescent="0.2">
      <c r="A22" s="2">
        <v>0.35</v>
      </c>
      <c r="B22" s="4">
        <v>86</v>
      </c>
      <c r="C22" s="4">
        <v>5.6982238199999903E-2</v>
      </c>
      <c r="D22" s="4">
        <v>0.17101113040187901</v>
      </c>
      <c r="E22" s="13"/>
      <c r="F22" s="13"/>
      <c r="G22" s="4">
        <v>5.9226600000000502</v>
      </c>
      <c r="K22" t="s">
        <v>53</v>
      </c>
      <c r="L22" t="s">
        <v>55</v>
      </c>
    </row>
    <row r="23" spans="1:14" x14ac:dyDescent="0.2">
      <c r="A23" s="2">
        <v>0.4</v>
      </c>
      <c r="B23" s="4">
        <v>74</v>
      </c>
      <c r="C23" s="4">
        <v>0.101107423799999</v>
      </c>
      <c r="D23" s="4">
        <v>0.21818009783503201</v>
      </c>
      <c r="E23" s="13"/>
      <c r="F23" s="13"/>
      <c r="G23" s="4">
        <v>6.5408800000000102</v>
      </c>
      <c r="K23">
        <v>6</v>
      </c>
      <c r="L23">
        <f>K23-1</f>
        <v>5</v>
      </c>
    </row>
    <row r="24" spans="1:14" x14ac:dyDescent="0.2">
      <c r="A24" s="2" t="s">
        <v>42</v>
      </c>
      <c r="N24" t="s">
        <v>57</v>
      </c>
    </row>
    <row r="25" spans="1:14" x14ac:dyDescent="0.2">
      <c r="A25" s="13"/>
      <c r="B25" s="2" t="s">
        <v>37</v>
      </c>
      <c r="C25" s="2" t="s">
        <v>38</v>
      </c>
      <c r="D25" s="2" t="s">
        <v>39</v>
      </c>
      <c r="E25" s="13">
        <f>F25/60</f>
        <v>12.5</v>
      </c>
      <c r="F25">
        <v>750</v>
      </c>
      <c r="G25" s="2" t="s">
        <v>40</v>
      </c>
      <c r="K25" t="s">
        <v>54</v>
      </c>
      <c r="L25" t="s">
        <v>56</v>
      </c>
      <c r="N25">
        <f>I3*$L$26/SQRT($K$23)</f>
        <v>9.9942515477648719</v>
      </c>
    </row>
    <row r="26" spans="1:14" x14ac:dyDescent="0.2">
      <c r="A26" s="2">
        <v>0</v>
      </c>
      <c r="B26" s="4">
        <v>78</v>
      </c>
      <c r="C26" s="4">
        <v>8.7036553200000005E-2</v>
      </c>
      <c r="D26" s="4">
        <v>0.187054720730604</v>
      </c>
      <c r="E26" s="13"/>
      <c r="F26" s="13"/>
      <c r="G26" s="4">
        <v>4.6133873999999997</v>
      </c>
      <c r="K26">
        <f>(1-K21)/2</f>
        <v>2.5000000000000022E-2</v>
      </c>
      <c r="L26">
        <v>2.5710000000000002</v>
      </c>
      <c r="N26">
        <f t="shared" ref="N26:N33" si="5">I4*$L$26/SQRT($K$23)</f>
        <v>9.261945972634507</v>
      </c>
    </row>
    <row r="27" spans="1:14" x14ac:dyDescent="0.2">
      <c r="A27" s="2">
        <v>0.05</v>
      </c>
      <c r="B27" s="4">
        <v>80</v>
      </c>
      <c r="C27" s="4">
        <v>8.2457778400000001E-2</v>
      </c>
      <c r="D27" s="4">
        <v>0.185877508657455</v>
      </c>
      <c r="E27" s="13"/>
      <c r="F27" s="13"/>
      <c r="G27" s="4">
        <v>4.67136</v>
      </c>
      <c r="N27">
        <f t="shared" si="5"/>
        <v>6.6933839722520041</v>
      </c>
    </row>
    <row r="28" spans="1:14" x14ac:dyDescent="0.2">
      <c r="A28" s="2">
        <v>0.1</v>
      </c>
      <c r="B28" s="4">
        <v>80</v>
      </c>
      <c r="C28" s="4">
        <v>7.7492188200000006E-2</v>
      </c>
      <c r="D28" s="4">
        <v>0.17874288402261601</v>
      </c>
      <c r="E28" s="13"/>
      <c r="F28" s="13"/>
      <c r="G28" s="4">
        <v>4.68109999999999</v>
      </c>
      <c r="N28">
        <f t="shared" si="5"/>
        <v>7.6748165971572266</v>
      </c>
    </row>
    <row r="29" spans="1:14" x14ac:dyDescent="0.2">
      <c r="A29" s="2">
        <v>0.15</v>
      </c>
      <c r="B29" s="4">
        <v>82</v>
      </c>
      <c r="C29" s="4">
        <v>7.1643516399999996E-2</v>
      </c>
      <c r="D29" s="4">
        <v>0.16334614733234801</v>
      </c>
      <c r="E29" s="13"/>
      <c r="F29" s="13"/>
      <c r="G29" s="4">
        <v>4.5318600000000098</v>
      </c>
      <c r="N29">
        <f t="shared" si="5"/>
        <v>6.332528357615149</v>
      </c>
    </row>
    <row r="30" spans="1:14" x14ac:dyDescent="0.2">
      <c r="A30" s="2">
        <v>0.2</v>
      </c>
      <c r="B30" s="4">
        <v>82</v>
      </c>
      <c r="C30" s="4">
        <v>7.3177907799999997E-2</v>
      </c>
      <c r="D30" s="4">
        <v>0.15150315682229201</v>
      </c>
      <c r="E30" s="13"/>
      <c r="F30" s="13"/>
      <c r="G30" s="4">
        <v>4.3268999999999798</v>
      </c>
      <c r="N30">
        <f t="shared" si="5"/>
        <v>6.6933839722520041</v>
      </c>
    </row>
    <row r="31" spans="1:14" x14ac:dyDescent="0.2">
      <c r="A31" s="2">
        <v>0.25</v>
      </c>
      <c r="B31" s="4">
        <v>80</v>
      </c>
      <c r="C31" s="4">
        <v>7.4843253600000006E-2</v>
      </c>
      <c r="D31" s="4">
        <v>0.15721547557968599</v>
      </c>
      <c r="E31" s="13"/>
      <c r="F31" s="13"/>
      <c r="G31" s="4">
        <v>4.15500000000001</v>
      </c>
      <c r="N31">
        <f t="shared" si="5"/>
        <v>8.5442513188693141</v>
      </c>
    </row>
    <row r="32" spans="1:14" x14ac:dyDescent="0.2">
      <c r="A32" s="2">
        <v>0.3</v>
      </c>
      <c r="B32" s="4">
        <v>80</v>
      </c>
      <c r="C32" s="4">
        <v>6.7001233199999996E-2</v>
      </c>
      <c r="D32" s="4">
        <v>0.144181892685703</v>
      </c>
      <c r="E32" s="13"/>
      <c r="F32" s="13"/>
      <c r="G32" s="4">
        <v>4.0217800000000796</v>
      </c>
      <c r="N32">
        <f t="shared" si="5"/>
        <v>10.02360330420154</v>
      </c>
    </row>
    <row r="33" spans="1:14" x14ac:dyDescent="0.2">
      <c r="A33" s="2">
        <v>0.35</v>
      </c>
      <c r="B33" s="4">
        <v>72</v>
      </c>
      <c r="C33" s="4">
        <v>7.8019176199999998E-2</v>
      </c>
      <c r="D33" s="4">
        <v>0.13867611638858601</v>
      </c>
      <c r="E33" s="13"/>
      <c r="F33" s="13"/>
      <c r="G33" s="4">
        <v>4.7935971999999998</v>
      </c>
      <c r="N33">
        <f t="shared" si="5"/>
        <v>8.5785657192796538</v>
      </c>
    </row>
    <row r="34" spans="1:14" x14ac:dyDescent="0.2">
      <c r="A34" s="2">
        <v>0.4</v>
      </c>
      <c r="B34" s="4">
        <v>70</v>
      </c>
      <c r="C34" s="4">
        <v>9.6052966399999995E-2</v>
      </c>
      <c r="D34" s="4">
        <v>0.144187767398502</v>
      </c>
      <c r="E34" s="13"/>
      <c r="F34" s="13"/>
      <c r="G34" s="4">
        <v>5.40027999999998</v>
      </c>
    </row>
    <row r="36" spans="1:14" x14ac:dyDescent="0.2">
      <c r="A36" s="2" t="s">
        <v>43</v>
      </c>
      <c r="I36">
        <f>AVERAGE(E2,E14,E25,E37,E49,E60)</f>
        <v>11.497222222222222</v>
      </c>
    </row>
    <row r="37" spans="1:14" x14ac:dyDescent="0.2">
      <c r="A37" s="13"/>
      <c r="B37" s="2" t="s">
        <v>37</v>
      </c>
      <c r="C37" s="2" t="s">
        <v>38</v>
      </c>
      <c r="D37" s="2" t="s">
        <v>39</v>
      </c>
      <c r="E37" s="13">
        <f>F37/60</f>
        <v>10.466666666666667</v>
      </c>
      <c r="F37">
        <v>628</v>
      </c>
      <c r="G37" s="2" t="s">
        <v>40</v>
      </c>
      <c r="I37">
        <f>STDEV(E2,E14,E25,E37,E49,E60)</f>
        <v>2.6197416468606796</v>
      </c>
    </row>
    <row r="38" spans="1:14" x14ac:dyDescent="0.2">
      <c r="A38" s="2">
        <v>0</v>
      </c>
      <c r="B38" s="4">
        <v>76</v>
      </c>
      <c r="C38" s="4">
        <v>8.8161715599999996E-2</v>
      </c>
      <c r="D38" s="4">
        <v>0.16544565744083201</v>
      </c>
      <c r="E38" s="13"/>
      <c r="F38" s="13"/>
      <c r="G38" s="4">
        <v>4.6125055999999898</v>
      </c>
    </row>
    <row r="39" spans="1:14" x14ac:dyDescent="0.2">
      <c r="A39" s="2">
        <v>0.05</v>
      </c>
      <c r="B39" s="4">
        <v>78</v>
      </c>
      <c r="C39" s="4">
        <v>8.3764517400000002E-2</v>
      </c>
      <c r="D39" s="4">
        <v>0.16853974102022901</v>
      </c>
      <c r="E39" s="13"/>
      <c r="F39" s="13"/>
      <c r="G39" s="4">
        <v>4.5119299999999898</v>
      </c>
    </row>
    <row r="40" spans="1:14" x14ac:dyDescent="0.2">
      <c r="A40" s="2">
        <v>0.1</v>
      </c>
      <c r="B40" s="4">
        <v>78</v>
      </c>
      <c r="C40" s="4">
        <v>7.9521691000000005E-2</v>
      </c>
      <c r="D40" s="4">
        <v>0.155208403276372</v>
      </c>
      <c r="E40" s="13"/>
      <c r="F40" s="13"/>
      <c r="G40" s="4">
        <v>4.4185999999999899</v>
      </c>
    </row>
    <row r="41" spans="1:14" x14ac:dyDescent="0.2">
      <c r="A41" s="2">
        <v>0.15</v>
      </c>
      <c r="B41" s="4">
        <v>74</v>
      </c>
      <c r="C41" s="4">
        <v>8.6532195199999995E-2</v>
      </c>
      <c r="D41" s="4">
        <v>0.15451870158057601</v>
      </c>
      <c r="E41" s="13"/>
      <c r="F41" s="13"/>
      <c r="G41" s="4">
        <v>4.29732000000004</v>
      </c>
    </row>
    <row r="42" spans="1:14" x14ac:dyDescent="0.2">
      <c r="A42" s="2">
        <v>0.2</v>
      </c>
      <c r="B42" s="4">
        <v>78</v>
      </c>
      <c r="C42" s="4">
        <v>8.1968804599999903E-2</v>
      </c>
      <c r="D42" s="4">
        <v>0.14740156895197301</v>
      </c>
      <c r="E42" s="13"/>
      <c r="F42" s="13"/>
      <c r="G42" s="4">
        <v>4.00570000000004</v>
      </c>
    </row>
    <row r="43" spans="1:14" x14ac:dyDescent="0.2">
      <c r="A43" s="2">
        <v>0.25</v>
      </c>
      <c r="B43" s="4">
        <v>78</v>
      </c>
      <c r="C43" s="4">
        <v>9.6026077799999901E-2</v>
      </c>
      <c r="D43" s="4">
        <v>0.18433074899319801</v>
      </c>
      <c r="E43" s="13"/>
      <c r="F43" s="13"/>
      <c r="G43" s="4">
        <v>3.6942799999999401</v>
      </c>
    </row>
    <row r="44" spans="1:14" x14ac:dyDescent="0.2">
      <c r="A44" s="2">
        <v>0.3</v>
      </c>
      <c r="B44" s="4">
        <v>70</v>
      </c>
      <c r="C44" s="4">
        <v>0.1144174104</v>
      </c>
      <c r="D44" s="4">
        <v>0.21678316251343399</v>
      </c>
      <c r="E44" s="13"/>
      <c r="F44" s="13"/>
      <c r="G44" s="4">
        <v>3.6703399999999302</v>
      </c>
    </row>
    <row r="45" spans="1:14" x14ac:dyDescent="0.2">
      <c r="A45" s="2">
        <v>0.35</v>
      </c>
      <c r="B45" s="4">
        <v>68</v>
      </c>
      <c r="C45" s="4">
        <v>0.16066651779999899</v>
      </c>
      <c r="D45" s="4">
        <v>0.26686016444667099</v>
      </c>
      <c r="E45" s="13"/>
      <c r="F45" s="13"/>
      <c r="G45" s="4">
        <v>3.3217599999999399</v>
      </c>
    </row>
    <row r="46" spans="1:14" x14ac:dyDescent="0.2">
      <c r="A46" s="2">
        <v>0.4</v>
      </c>
      <c r="B46" s="4">
        <v>60</v>
      </c>
      <c r="C46" s="4">
        <v>0.20047587459999999</v>
      </c>
      <c r="D46" s="4">
        <v>0.303504853711627</v>
      </c>
      <c r="E46" s="13"/>
      <c r="F46" s="13"/>
      <c r="G46" s="4">
        <v>2.9255199999999899</v>
      </c>
    </row>
    <row r="48" spans="1:14" x14ac:dyDescent="0.2">
      <c r="A48" s="2" t="s">
        <v>44</v>
      </c>
    </row>
    <row r="49" spans="1:7" x14ac:dyDescent="0.2">
      <c r="A49" s="13"/>
      <c r="B49" s="2" t="s">
        <v>37</v>
      </c>
      <c r="C49" s="2" t="s">
        <v>38</v>
      </c>
      <c r="D49" s="2" t="s">
        <v>39</v>
      </c>
      <c r="E49" s="13">
        <f>F49/60</f>
        <v>7.75</v>
      </c>
      <c r="F49">
        <v>465</v>
      </c>
      <c r="G49" s="2" t="s">
        <v>40</v>
      </c>
    </row>
    <row r="50" spans="1:7" x14ac:dyDescent="0.2">
      <c r="A50" s="2">
        <v>0</v>
      </c>
      <c r="B50" s="4">
        <v>64</v>
      </c>
      <c r="C50" s="4">
        <v>0.14151582659999901</v>
      </c>
      <c r="D50" s="4">
        <v>0.23901747135922199</v>
      </c>
      <c r="E50" s="28">
        <v>0.74</v>
      </c>
      <c r="F50" s="13"/>
      <c r="G50" s="4">
        <v>3.8791365600000001</v>
      </c>
    </row>
    <row r="51" spans="1:7" x14ac:dyDescent="0.2">
      <c r="A51" s="2">
        <v>0.05</v>
      </c>
      <c r="B51" s="4">
        <v>64</v>
      </c>
      <c r="C51" s="4">
        <v>0.13908380499999901</v>
      </c>
      <c r="D51" s="4">
        <v>0.24471222948833299</v>
      </c>
      <c r="E51" s="13"/>
      <c r="F51" s="13"/>
      <c r="G51" s="4">
        <v>3.8588119999999799</v>
      </c>
    </row>
    <row r="52" spans="1:7" x14ac:dyDescent="0.2">
      <c r="A52" s="2">
        <v>0.1</v>
      </c>
      <c r="B52" s="4">
        <v>72</v>
      </c>
      <c r="C52" s="4">
        <v>0.10747973179999901</v>
      </c>
      <c r="D52" s="4">
        <v>0.202803246961658</v>
      </c>
      <c r="E52" s="13"/>
      <c r="F52" s="13"/>
      <c r="G52" s="4">
        <v>3.8673300000000199</v>
      </c>
    </row>
    <row r="53" spans="1:7" x14ac:dyDescent="0.2">
      <c r="A53" s="2">
        <v>0.15</v>
      </c>
      <c r="B53" s="4">
        <v>74</v>
      </c>
      <c r="C53" s="4">
        <v>0.12202703619999899</v>
      </c>
      <c r="D53" s="4">
        <v>0.218466292389425</v>
      </c>
      <c r="E53" s="13"/>
      <c r="F53" s="13"/>
      <c r="G53" s="4">
        <v>3.5677399999999801</v>
      </c>
    </row>
    <row r="54" spans="1:7" x14ac:dyDescent="0.2">
      <c r="A54" s="2">
        <v>0.2</v>
      </c>
      <c r="B54" s="4">
        <v>72</v>
      </c>
      <c r="C54" s="4">
        <v>0.1152922118</v>
      </c>
      <c r="D54" s="4">
        <v>0.20661426455715101</v>
      </c>
      <c r="E54" s="13"/>
      <c r="G54" s="4">
        <v>3.69569999999996</v>
      </c>
    </row>
    <row r="55" spans="1:7" x14ac:dyDescent="0.2">
      <c r="A55" s="2">
        <v>0.25</v>
      </c>
      <c r="B55" s="4">
        <v>74</v>
      </c>
      <c r="C55" s="4">
        <v>0.110369670799999</v>
      </c>
      <c r="D55" s="4">
        <v>0.20746710405962401</v>
      </c>
      <c r="E55" s="13"/>
      <c r="F55" s="13"/>
      <c r="G55" s="4">
        <v>3.5359799999999701</v>
      </c>
    </row>
    <row r="56" spans="1:7" x14ac:dyDescent="0.2">
      <c r="A56" s="2">
        <v>0.3</v>
      </c>
      <c r="B56" s="4">
        <v>70</v>
      </c>
      <c r="C56" s="4">
        <v>0.1399640442</v>
      </c>
      <c r="D56" s="4">
        <v>0.22360534469121601</v>
      </c>
      <c r="E56" s="13"/>
      <c r="F56" s="13"/>
      <c r="G56" s="4">
        <v>3.2740000000000302</v>
      </c>
    </row>
    <row r="57" spans="1:7" x14ac:dyDescent="0.2">
      <c r="A57" s="2">
        <v>0.35</v>
      </c>
      <c r="B57" s="4">
        <v>66</v>
      </c>
      <c r="C57" s="4">
        <v>0.1338815448</v>
      </c>
      <c r="D57" s="4">
        <v>0.206758071451141</v>
      </c>
      <c r="E57" s="13"/>
      <c r="F57" s="13"/>
      <c r="G57" s="4">
        <v>2.7413399999999299</v>
      </c>
    </row>
    <row r="58" spans="1:7" x14ac:dyDescent="0.2">
      <c r="A58" s="2">
        <v>0.4</v>
      </c>
      <c r="B58" s="4">
        <v>62</v>
      </c>
      <c r="C58" s="4">
        <v>0.15633924199999999</v>
      </c>
      <c r="D58" s="4">
        <v>0.22532055405993801</v>
      </c>
      <c r="E58" s="13"/>
      <c r="F58" s="13"/>
      <c r="G58" s="4">
        <v>2.35138000000005</v>
      </c>
    </row>
    <row r="59" spans="1:7" x14ac:dyDescent="0.2">
      <c r="A59" t="s">
        <v>45</v>
      </c>
    </row>
    <row r="60" spans="1:7" x14ac:dyDescent="0.2">
      <c r="A60" s="13"/>
      <c r="B60" s="2" t="s">
        <v>37</v>
      </c>
      <c r="C60" s="2" t="s">
        <v>38</v>
      </c>
      <c r="D60" s="2" t="s">
        <v>39</v>
      </c>
      <c r="E60" s="13">
        <f>F60/60</f>
        <v>9.7666666666666675</v>
      </c>
      <c r="F60">
        <v>586</v>
      </c>
      <c r="G60" s="2" t="s">
        <v>40</v>
      </c>
    </row>
    <row r="61" spans="1:7" x14ac:dyDescent="0.2">
      <c r="A61" s="2">
        <v>0</v>
      </c>
      <c r="B61" s="4">
        <v>68</v>
      </c>
      <c r="C61" s="4">
        <v>0.18996409859999999</v>
      </c>
      <c r="D61" s="4">
        <v>0.41223974643872502</v>
      </c>
      <c r="F61" s="13"/>
      <c r="G61" s="4">
        <v>4.5273911999999896</v>
      </c>
    </row>
    <row r="62" spans="1:7" x14ac:dyDescent="0.2">
      <c r="A62" s="2">
        <v>0.05</v>
      </c>
      <c r="B62" s="4">
        <v>70</v>
      </c>
      <c r="C62" s="4">
        <v>0.1887815638</v>
      </c>
      <c r="D62" s="4">
        <v>0.414366918975351</v>
      </c>
      <c r="E62" s="13"/>
      <c r="F62" s="13"/>
      <c r="G62" s="4">
        <v>4.4846400000000104</v>
      </c>
    </row>
    <row r="63" spans="1:7" x14ac:dyDescent="0.2">
      <c r="A63" s="2">
        <v>0.1</v>
      </c>
      <c r="B63" s="4">
        <v>74</v>
      </c>
      <c r="C63" s="4">
        <v>0.18558562079999999</v>
      </c>
      <c r="D63" s="4">
        <v>0.41977304822619399</v>
      </c>
      <c r="E63" s="13"/>
      <c r="F63" s="13"/>
      <c r="G63" s="4">
        <v>4.3143200000000004</v>
      </c>
    </row>
    <row r="64" spans="1:7" x14ac:dyDescent="0.2">
      <c r="A64" s="2">
        <v>0.15</v>
      </c>
      <c r="B64" s="4">
        <v>72</v>
      </c>
      <c r="C64" s="4">
        <v>0.1853433488</v>
      </c>
      <c r="D64" s="4">
        <v>0.41611906331245102</v>
      </c>
      <c r="E64" s="13"/>
      <c r="F64" s="13"/>
      <c r="G64" s="4">
        <v>4.2346000000000297</v>
      </c>
    </row>
    <row r="65" spans="1:7" x14ac:dyDescent="0.2">
      <c r="A65" s="2">
        <v>0.2</v>
      </c>
      <c r="B65" s="4">
        <v>72</v>
      </c>
      <c r="C65" s="4">
        <v>0.18171203080000001</v>
      </c>
      <c r="D65" s="4">
        <v>0.40519405505080502</v>
      </c>
      <c r="E65" s="13"/>
      <c r="F65" s="13"/>
      <c r="G65" s="4">
        <v>4.1101999999999999</v>
      </c>
    </row>
    <row r="66" spans="1:7" x14ac:dyDescent="0.2">
      <c r="A66" s="2">
        <v>0.25</v>
      </c>
      <c r="B66" s="4">
        <v>72</v>
      </c>
      <c r="C66" s="4">
        <v>0.18311728099999899</v>
      </c>
      <c r="D66" s="4">
        <v>0.38921108560756201</v>
      </c>
      <c r="E66" s="13"/>
      <c r="F66" s="13"/>
      <c r="G66" s="4">
        <v>4.2007400000000397</v>
      </c>
    </row>
    <row r="67" spans="1:7" x14ac:dyDescent="0.2">
      <c r="A67" s="2">
        <v>0.3</v>
      </c>
      <c r="B67" s="4">
        <v>72</v>
      </c>
      <c r="C67" s="4">
        <v>0.1838848706</v>
      </c>
      <c r="D67" s="4">
        <v>0.35421137991868901</v>
      </c>
      <c r="E67" s="13"/>
      <c r="F67" s="13"/>
      <c r="G67" s="4">
        <v>3.7565599999999799</v>
      </c>
    </row>
    <row r="68" spans="1:7" x14ac:dyDescent="0.2">
      <c r="A68" s="2">
        <v>0.35</v>
      </c>
      <c r="B68" s="4">
        <v>66</v>
      </c>
      <c r="C68" s="4">
        <v>0.1853733712</v>
      </c>
      <c r="D68" s="4">
        <v>0.33877657623413099</v>
      </c>
      <c r="E68" s="13"/>
      <c r="F68" s="13"/>
      <c r="G68" s="4">
        <v>4.1644200000000202</v>
      </c>
    </row>
    <row r="69" spans="1:7" x14ac:dyDescent="0.2">
      <c r="A69" s="2">
        <v>0.4</v>
      </c>
      <c r="B69" s="4">
        <v>66</v>
      </c>
      <c r="C69" s="4">
        <v>0.19202003979999999</v>
      </c>
      <c r="D69" s="4">
        <v>0.34588476606843799</v>
      </c>
      <c r="E69" s="13"/>
      <c r="F69" s="13"/>
      <c r="G69" s="4">
        <v>5.1190600000000002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22A2-E005-0E4D-9E6B-4B9B70D9D844}">
  <dimension ref="A1:V82"/>
  <sheetViews>
    <sheetView tabSelected="1" topLeftCell="F5" workbookViewId="0">
      <selection activeCell="N17" sqref="N17"/>
    </sheetView>
  </sheetViews>
  <sheetFormatPr baseColWidth="10" defaultRowHeight="16" x14ac:dyDescent="0.2"/>
  <cols>
    <col min="12" max="12" width="20.33203125" bestFit="1" customWidth="1"/>
    <col min="17" max="17" width="22.33203125" bestFit="1" customWidth="1"/>
  </cols>
  <sheetData>
    <row r="1" spans="1:22" x14ac:dyDescent="0.2">
      <c r="A1" t="s">
        <v>36</v>
      </c>
    </row>
    <row r="2" spans="1:22" x14ac:dyDescent="0.2">
      <c r="A2" s="13"/>
      <c r="B2" s="2" t="s">
        <v>59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64</v>
      </c>
      <c r="H2" s="2" t="s">
        <v>46</v>
      </c>
      <c r="I2" t="str">
        <f>C2</f>
        <v>OneTarget</v>
      </c>
      <c r="J2" t="str">
        <f t="shared" ref="J2:M2" si="0">D2</f>
        <v>TwoTargets</v>
      </c>
      <c r="K2" t="str">
        <f t="shared" si="0"/>
        <v>ThreeTargets</v>
      </c>
      <c r="L2" t="str">
        <f t="shared" si="0"/>
        <v>FourTargets</v>
      </c>
      <c r="M2" t="str">
        <f t="shared" si="0"/>
        <v>FiveTargets</v>
      </c>
    </row>
    <row r="3" spans="1:22" x14ac:dyDescent="0.2">
      <c r="A3" s="2">
        <v>0</v>
      </c>
      <c r="B3" s="4">
        <v>88</v>
      </c>
      <c r="C3" s="4">
        <v>100</v>
      </c>
      <c r="D3" s="4">
        <v>90</v>
      </c>
      <c r="E3" s="4">
        <v>90</v>
      </c>
      <c r="F3" s="4">
        <v>100</v>
      </c>
      <c r="G3" s="4">
        <v>60</v>
      </c>
      <c r="I3">
        <f>STDEV(C3,C16,C30,C44,C58,C72)</f>
        <v>4.0824829046386304</v>
      </c>
      <c r="J3">
        <f t="shared" ref="J3:M13" si="1">STDEV(D3,D16,D30,D44,D58,D72)</f>
        <v>15.055453054181635</v>
      </c>
      <c r="K3">
        <f t="shared" si="1"/>
        <v>13.291601358251249</v>
      </c>
      <c r="L3">
        <f t="shared" si="1"/>
        <v>24.221202832779927</v>
      </c>
      <c r="M3">
        <f t="shared" si="1"/>
        <v>10.327955589886434</v>
      </c>
    </row>
    <row r="4" spans="1:22" x14ac:dyDescent="0.2">
      <c r="A4" s="2">
        <v>0.05</v>
      </c>
      <c r="B4" s="4">
        <v>86</v>
      </c>
      <c r="C4" s="4">
        <v>100</v>
      </c>
      <c r="D4" s="4">
        <v>90</v>
      </c>
      <c r="E4" s="4">
        <v>90</v>
      </c>
      <c r="F4" s="4">
        <v>90</v>
      </c>
      <c r="G4" s="4">
        <v>60</v>
      </c>
      <c r="I4">
        <f t="shared" ref="I4:I13" si="2">STDEV(C4,C17,C31,C45,C59,C73)</f>
        <v>4.0824829046386304</v>
      </c>
      <c r="J4">
        <f t="shared" si="1"/>
        <v>15.055453054181635</v>
      </c>
      <c r="K4">
        <f t="shared" si="1"/>
        <v>12.110601416389986</v>
      </c>
      <c r="L4">
        <f t="shared" si="1"/>
        <v>21.369760566432802</v>
      </c>
      <c r="M4">
        <f t="shared" si="1"/>
        <v>13.662601021279455</v>
      </c>
    </row>
    <row r="5" spans="1:22" x14ac:dyDescent="0.2">
      <c r="A5" s="2">
        <v>0.1</v>
      </c>
      <c r="B5" s="4">
        <v>86</v>
      </c>
      <c r="C5" s="4">
        <v>100</v>
      </c>
      <c r="D5" s="4">
        <v>90</v>
      </c>
      <c r="E5" s="4">
        <v>90</v>
      </c>
      <c r="F5" s="4">
        <v>90</v>
      </c>
      <c r="G5" s="4">
        <v>60</v>
      </c>
      <c r="I5">
        <f t="shared" si="2"/>
        <v>4.0824829046386304</v>
      </c>
      <c r="J5">
        <f t="shared" si="1"/>
        <v>11.690451944500142</v>
      </c>
      <c r="K5">
        <f t="shared" si="1"/>
        <v>14.142135623730951</v>
      </c>
      <c r="L5">
        <f t="shared" si="1"/>
        <v>19.663841605003494</v>
      </c>
      <c r="M5">
        <f t="shared" si="1"/>
        <v>12.24744871391589</v>
      </c>
    </row>
    <row r="6" spans="1:22" x14ac:dyDescent="0.2">
      <c r="A6" s="2">
        <v>0.15</v>
      </c>
      <c r="B6" s="4">
        <v>88</v>
      </c>
      <c r="C6" s="4">
        <v>100</v>
      </c>
      <c r="D6" s="4">
        <v>90</v>
      </c>
      <c r="E6" s="4">
        <v>90</v>
      </c>
      <c r="F6" s="4">
        <v>90</v>
      </c>
      <c r="G6" s="4">
        <v>70</v>
      </c>
      <c r="I6">
        <f t="shared" si="2"/>
        <v>4.0824829046386304</v>
      </c>
      <c r="J6">
        <f t="shared" si="1"/>
        <v>12.110601416389986</v>
      </c>
      <c r="K6">
        <f t="shared" si="1"/>
        <v>10.327955589886468</v>
      </c>
      <c r="L6">
        <f t="shared" si="1"/>
        <v>21.60246899469286</v>
      </c>
      <c r="M6">
        <f t="shared" si="1"/>
        <v>12.110601416389956</v>
      </c>
    </row>
    <row r="7" spans="1:22" x14ac:dyDescent="0.2">
      <c r="A7" s="2">
        <v>0.2</v>
      </c>
      <c r="B7" s="4">
        <v>86</v>
      </c>
      <c r="C7" s="4">
        <v>100</v>
      </c>
      <c r="D7" s="4">
        <v>90</v>
      </c>
      <c r="E7" s="4">
        <v>90</v>
      </c>
      <c r="F7" s="4">
        <v>90</v>
      </c>
      <c r="G7" s="4">
        <v>60</v>
      </c>
      <c r="I7">
        <f t="shared" si="2"/>
        <v>4.0824829046386304</v>
      </c>
      <c r="J7">
        <f t="shared" si="1"/>
        <v>12.110601416389986</v>
      </c>
      <c r="K7">
        <f t="shared" si="1"/>
        <v>10.327955589886468</v>
      </c>
      <c r="L7">
        <f t="shared" si="1"/>
        <v>21.60246899469286</v>
      </c>
      <c r="M7">
        <f t="shared" si="1"/>
        <v>13.662601021279455</v>
      </c>
    </row>
    <row r="8" spans="1:22" x14ac:dyDescent="0.2">
      <c r="A8" s="2">
        <v>0.25</v>
      </c>
      <c r="B8" s="4">
        <v>88</v>
      </c>
      <c r="C8" s="4">
        <v>100</v>
      </c>
      <c r="D8" s="4">
        <v>90</v>
      </c>
      <c r="E8" s="4">
        <v>90</v>
      </c>
      <c r="F8" s="4">
        <v>80</v>
      </c>
      <c r="G8" s="4">
        <v>80</v>
      </c>
      <c r="I8">
        <f t="shared" si="2"/>
        <v>4.0824829046386304</v>
      </c>
      <c r="J8">
        <f t="shared" si="1"/>
        <v>8.1649658092772608</v>
      </c>
      <c r="K8">
        <f t="shared" si="1"/>
        <v>7.5277265270908105</v>
      </c>
      <c r="L8">
        <f t="shared" si="1"/>
        <v>15.165750888103101</v>
      </c>
      <c r="M8">
        <f t="shared" si="1"/>
        <v>13.662601021279455</v>
      </c>
    </row>
    <row r="9" spans="1:22" x14ac:dyDescent="0.2">
      <c r="A9" s="2">
        <v>0.3</v>
      </c>
      <c r="B9" s="4">
        <v>88</v>
      </c>
      <c r="C9" s="4">
        <v>100</v>
      </c>
      <c r="D9" s="4">
        <v>90</v>
      </c>
      <c r="E9" s="4">
        <v>100</v>
      </c>
      <c r="F9" s="4">
        <v>70</v>
      </c>
      <c r="G9" s="4">
        <v>80</v>
      </c>
      <c r="I9">
        <f t="shared" si="2"/>
        <v>4.0824829046386304</v>
      </c>
      <c r="J9">
        <f t="shared" si="1"/>
        <v>11.690451944500142</v>
      </c>
      <c r="K9">
        <f t="shared" si="1"/>
        <v>14.71960144387976</v>
      </c>
      <c r="L9">
        <f t="shared" si="1"/>
        <v>13.291601358251249</v>
      </c>
      <c r="M9">
        <f t="shared" si="1"/>
        <v>18.708286933869708</v>
      </c>
    </row>
    <row r="10" spans="1:22" x14ac:dyDescent="0.2">
      <c r="A10" s="2">
        <v>0.35</v>
      </c>
      <c r="B10" s="4">
        <v>86</v>
      </c>
      <c r="C10" s="4">
        <v>100</v>
      </c>
      <c r="D10" s="4">
        <v>90</v>
      </c>
      <c r="E10" s="4">
        <v>100</v>
      </c>
      <c r="F10" s="4">
        <v>70</v>
      </c>
      <c r="G10" s="4">
        <v>70</v>
      </c>
      <c r="I10">
        <f t="shared" si="2"/>
        <v>4.0824829046386304</v>
      </c>
      <c r="J10">
        <f t="shared" si="1"/>
        <v>6.324555320336759</v>
      </c>
      <c r="K10">
        <f t="shared" si="1"/>
        <v>19.40790217067951</v>
      </c>
      <c r="L10">
        <f t="shared" si="1"/>
        <v>15.491933384829668</v>
      </c>
      <c r="M10">
        <f t="shared" si="1"/>
        <v>18.973665961010276</v>
      </c>
    </row>
    <row r="11" spans="1:22" ht="17" thickBot="1" x14ac:dyDescent="0.25">
      <c r="A11" s="2">
        <v>0.4</v>
      </c>
      <c r="B11" s="4">
        <v>82</v>
      </c>
      <c r="C11" s="4">
        <v>100</v>
      </c>
      <c r="D11" s="4">
        <v>80</v>
      </c>
      <c r="E11" s="4">
        <v>90</v>
      </c>
      <c r="F11" s="4">
        <v>80</v>
      </c>
      <c r="G11" s="4">
        <v>60</v>
      </c>
      <c r="I11">
        <f t="shared" si="2"/>
        <v>4.0824829046386304</v>
      </c>
      <c r="J11">
        <f t="shared" si="1"/>
        <v>8.1649658092772608</v>
      </c>
      <c r="K11">
        <f t="shared" si="1"/>
        <v>19.40790217067951</v>
      </c>
      <c r="L11">
        <f t="shared" si="1"/>
        <v>16.329931618554511</v>
      </c>
      <c r="M11">
        <f t="shared" si="1"/>
        <v>14.71960144387975</v>
      </c>
    </row>
    <row r="12" spans="1:22" ht="17" thickBot="1" x14ac:dyDescent="0.25">
      <c r="A12" s="2">
        <v>0.17499999999999999</v>
      </c>
      <c r="B12" s="4">
        <v>88</v>
      </c>
      <c r="C12" s="4">
        <v>100</v>
      </c>
      <c r="D12" s="4">
        <v>90</v>
      </c>
      <c r="E12" s="4">
        <v>90</v>
      </c>
      <c r="F12" s="4">
        <v>90</v>
      </c>
      <c r="G12" s="4">
        <v>70</v>
      </c>
      <c r="I12">
        <f t="shared" si="2"/>
        <v>4.0824829046386304</v>
      </c>
      <c r="J12">
        <f t="shared" si="1"/>
        <v>9.8319208025017755</v>
      </c>
      <c r="K12">
        <f t="shared" si="1"/>
        <v>11.690451944500142</v>
      </c>
      <c r="L12">
        <f t="shared" si="1"/>
        <v>14.719601443879737</v>
      </c>
      <c r="M12">
        <f t="shared" si="1"/>
        <v>11.690451944500111</v>
      </c>
      <c r="Q12" s="16"/>
      <c r="R12" s="18" t="s">
        <v>75</v>
      </c>
      <c r="S12" s="25" t="s">
        <v>76</v>
      </c>
      <c r="T12" s="25" t="s">
        <v>77</v>
      </c>
      <c r="U12" s="25" t="s">
        <v>78</v>
      </c>
      <c r="V12" s="19" t="s">
        <v>79</v>
      </c>
    </row>
    <row r="13" spans="1:22" ht="20" thickBot="1" x14ac:dyDescent="0.3">
      <c r="A13" s="2">
        <v>0.22500000000000001</v>
      </c>
      <c r="B13" s="4">
        <v>88</v>
      </c>
      <c r="C13" s="4">
        <v>100</v>
      </c>
      <c r="D13" s="4">
        <v>90</v>
      </c>
      <c r="E13" s="4">
        <v>90</v>
      </c>
      <c r="F13" s="4">
        <v>80</v>
      </c>
      <c r="G13" s="4">
        <v>80</v>
      </c>
      <c r="I13">
        <f t="shared" si="2"/>
        <v>4.0824829046386304</v>
      </c>
      <c r="J13">
        <f t="shared" si="1"/>
        <v>9.8319208025017755</v>
      </c>
      <c r="K13">
        <f t="shared" si="1"/>
        <v>10.327955589886468</v>
      </c>
      <c r="L13">
        <f t="shared" si="1"/>
        <v>15.165750888103101</v>
      </c>
      <c r="M13">
        <f t="shared" si="1"/>
        <v>13.291601358251249</v>
      </c>
      <c r="Q13" s="20" t="s">
        <v>66</v>
      </c>
      <c r="R13" s="51" t="s">
        <v>102</v>
      </c>
      <c r="S13" s="52" t="s">
        <v>103</v>
      </c>
      <c r="T13" s="52" t="s">
        <v>104</v>
      </c>
      <c r="U13" s="52" t="s">
        <v>105</v>
      </c>
      <c r="V13" s="53" t="s">
        <v>105</v>
      </c>
    </row>
    <row r="14" spans="1:22" ht="20" thickBot="1" x14ac:dyDescent="0.3">
      <c r="A14" s="2"/>
      <c r="B14" s="4"/>
      <c r="C14" s="4"/>
      <c r="D14" s="4"/>
      <c r="E14" s="4"/>
      <c r="F14" s="4"/>
      <c r="G14" s="4"/>
      <c r="Q14" s="57" t="s">
        <v>65</v>
      </c>
      <c r="R14" s="54" t="s">
        <v>106</v>
      </c>
      <c r="S14" s="55" t="s">
        <v>107</v>
      </c>
      <c r="T14" s="55" t="s">
        <v>107</v>
      </c>
      <c r="U14" s="55" t="s">
        <v>108</v>
      </c>
      <c r="V14" s="56" t="s">
        <v>107</v>
      </c>
    </row>
    <row r="15" spans="1:22" x14ac:dyDescent="0.2">
      <c r="A15" s="2" t="s">
        <v>41</v>
      </c>
    </row>
    <row r="16" spans="1:22" x14ac:dyDescent="0.2">
      <c r="A16" s="2">
        <v>0</v>
      </c>
      <c r="B16" s="4">
        <v>86</v>
      </c>
      <c r="C16" s="4">
        <v>100</v>
      </c>
      <c r="D16" s="4">
        <v>100</v>
      </c>
      <c r="E16" s="4">
        <v>70</v>
      </c>
      <c r="F16" s="4">
        <v>80</v>
      </c>
      <c r="G16" s="4">
        <v>80</v>
      </c>
    </row>
    <row r="17" spans="1:17" x14ac:dyDescent="0.2">
      <c r="A17" s="2">
        <v>0.05</v>
      </c>
      <c r="B17" s="4">
        <v>86</v>
      </c>
      <c r="C17" s="4">
        <v>100</v>
      </c>
      <c r="D17" s="4">
        <v>100</v>
      </c>
      <c r="E17" s="4">
        <v>70</v>
      </c>
      <c r="F17" s="4">
        <v>80</v>
      </c>
      <c r="G17" s="4">
        <v>80</v>
      </c>
    </row>
    <row r="18" spans="1:17" x14ac:dyDescent="0.2">
      <c r="A18" s="2">
        <v>0.1</v>
      </c>
      <c r="B18" s="4">
        <v>88</v>
      </c>
      <c r="C18" s="4">
        <v>100</v>
      </c>
      <c r="D18" s="4">
        <v>100</v>
      </c>
      <c r="E18" s="4">
        <v>80</v>
      </c>
      <c r="F18" s="4">
        <v>80</v>
      </c>
      <c r="G18" s="4">
        <v>80</v>
      </c>
    </row>
    <row r="19" spans="1:17" x14ac:dyDescent="0.2">
      <c r="A19" s="2">
        <v>0.15</v>
      </c>
      <c r="B19" s="4">
        <v>88</v>
      </c>
      <c r="C19" s="4">
        <v>100</v>
      </c>
      <c r="D19" s="4">
        <v>100</v>
      </c>
      <c r="E19" s="4">
        <v>80</v>
      </c>
      <c r="F19" s="4">
        <v>80</v>
      </c>
      <c r="G19" s="4">
        <v>80</v>
      </c>
    </row>
    <row r="20" spans="1:17" x14ac:dyDescent="0.2">
      <c r="A20" s="2">
        <v>0.2</v>
      </c>
      <c r="B20" s="4">
        <v>84</v>
      </c>
      <c r="C20" s="4">
        <v>100</v>
      </c>
      <c r="D20" s="4">
        <v>100</v>
      </c>
      <c r="E20" s="4">
        <v>80</v>
      </c>
      <c r="F20" s="4">
        <v>80</v>
      </c>
      <c r="G20" s="4">
        <v>60</v>
      </c>
    </row>
    <row r="21" spans="1:17" x14ac:dyDescent="0.2">
      <c r="A21" s="2">
        <v>0.25</v>
      </c>
      <c r="B21" s="4">
        <v>86</v>
      </c>
      <c r="C21" s="4">
        <v>100</v>
      </c>
      <c r="D21" s="4">
        <v>100</v>
      </c>
      <c r="E21" s="4">
        <v>80</v>
      </c>
      <c r="F21" s="4">
        <v>80</v>
      </c>
      <c r="G21" s="4">
        <v>70</v>
      </c>
    </row>
    <row r="22" spans="1:17" x14ac:dyDescent="0.2">
      <c r="A22" s="2">
        <v>0.3</v>
      </c>
      <c r="B22" s="4">
        <v>86</v>
      </c>
      <c r="C22" s="4">
        <v>100</v>
      </c>
      <c r="D22" s="4">
        <v>100</v>
      </c>
      <c r="E22" s="4">
        <v>90</v>
      </c>
      <c r="F22" s="4">
        <v>70</v>
      </c>
      <c r="G22" s="4">
        <v>70</v>
      </c>
    </row>
    <row r="23" spans="1:17" ht="17" thickBot="1" x14ac:dyDescent="0.25">
      <c r="A23" s="2">
        <v>0.35</v>
      </c>
      <c r="B23" s="4">
        <v>86</v>
      </c>
      <c r="C23" s="4">
        <v>100</v>
      </c>
      <c r="D23" s="4">
        <v>80</v>
      </c>
      <c r="E23" s="4">
        <v>90</v>
      </c>
      <c r="F23" s="4">
        <v>80</v>
      </c>
      <c r="G23" s="4">
        <v>80</v>
      </c>
    </row>
    <row r="24" spans="1:17" ht="17" thickBot="1" x14ac:dyDescent="0.25">
      <c r="A24" s="2">
        <v>0.4</v>
      </c>
      <c r="B24" s="4">
        <v>74</v>
      </c>
      <c r="C24" s="4">
        <v>100</v>
      </c>
      <c r="D24" s="4">
        <v>70</v>
      </c>
      <c r="E24" s="4">
        <v>80</v>
      </c>
      <c r="F24" s="4">
        <v>60</v>
      </c>
      <c r="G24" s="4">
        <v>60</v>
      </c>
      <c r="L24" s="16"/>
      <c r="M24" s="18" t="s">
        <v>75</v>
      </c>
      <c r="N24" s="25" t="s">
        <v>76</v>
      </c>
      <c r="O24" s="25" t="s">
        <v>77</v>
      </c>
      <c r="P24" s="25" t="s">
        <v>78</v>
      </c>
      <c r="Q24" s="19" t="s">
        <v>79</v>
      </c>
    </row>
    <row r="25" spans="1:17" ht="17" thickBot="1" x14ac:dyDescent="0.25">
      <c r="A25" s="2">
        <v>0.17499999999999999</v>
      </c>
      <c r="B25" s="4">
        <v>88</v>
      </c>
      <c r="C25" s="4">
        <v>100</v>
      </c>
      <c r="D25" s="4">
        <v>100</v>
      </c>
      <c r="E25" s="4">
        <v>80</v>
      </c>
      <c r="F25" s="4">
        <v>80</v>
      </c>
      <c r="G25" s="4">
        <v>80</v>
      </c>
      <c r="L25" s="20" t="s">
        <v>66</v>
      </c>
      <c r="M25" s="23">
        <f>AVERAGE(C12,C25,C39,C53,C67,C81)</f>
        <v>98.333333333333329</v>
      </c>
      <c r="N25" s="26">
        <f t="shared" ref="N25:Q25" si="3">AVERAGE(D12,D25,D39,D53,D67,D81)</f>
        <v>88.333333333333329</v>
      </c>
      <c r="O25" s="26">
        <f t="shared" si="3"/>
        <v>81.666666666666671</v>
      </c>
      <c r="P25" s="26">
        <f t="shared" si="3"/>
        <v>68.333333333333329</v>
      </c>
      <c r="Q25" s="24">
        <f t="shared" si="3"/>
        <v>68.333333333333329</v>
      </c>
    </row>
    <row r="26" spans="1:17" ht="17" thickBot="1" x14ac:dyDescent="0.25">
      <c r="A26" s="2">
        <v>0.22500000000000001</v>
      </c>
      <c r="B26" s="4">
        <v>84</v>
      </c>
      <c r="C26" s="4">
        <v>100</v>
      </c>
      <c r="D26" s="4">
        <v>100</v>
      </c>
      <c r="E26" s="4">
        <v>80</v>
      </c>
      <c r="F26" s="4">
        <v>80</v>
      </c>
      <c r="G26" s="4">
        <v>60</v>
      </c>
      <c r="L26" s="17" t="s">
        <v>65</v>
      </c>
      <c r="M26" s="21">
        <v>4.2850000000000013E-2</v>
      </c>
      <c r="N26" s="27">
        <v>0.10319646554025025</v>
      </c>
      <c r="O26" s="27">
        <v>0.12270372651227858</v>
      </c>
      <c r="P26" s="27">
        <v>0.15449787215363187</v>
      </c>
      <c r="Q26" s="22">
        <v>0.12270372651227827</v>
      </c>
    </row>
    <row r="28" spans="1:17" x14ac:dyDescent="0.2">
      <c r="A28" s="2" t="s">
        <v>42</v>
      </c>
    </row>
    <row r="29" spans="1:17" x14ac:dyDescent="0.2">
      <c r="A29" s="13"/>
      <c r="B29" s="2" t="s">
        <v>59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64</v>
      </c>
      <c r="J29" t="s">
        <v>51</v>
      </c>
    </row>
    <row r="30" spans="1:17" x14ac:dyDescent="0.2">
      <c r="A30" s="2">
        <v>0</v>
      </c>
      <c r="B30" s="4">
        <v>78</v>
      </c>
      <c r="C30" s="4">
        <v>100</v>
      </c>
      <c r="D30" s="4">
        <v>100</v>
      </c>
      <c r="E30" s="4">
        <v>70</v>
      </c>
      <c r="F30" s="4">
        <v>50</v>
      </c>
      <c r="G30" s="4">
        <v>70</v>
      </c>
      <c r="J30" t="s">
        <v>52</v>
      </c>
    </row>
    <row r="31" spans="1:17" x14ac:dyDescent="0.2">
      <c r="A31" s="2">
        <v>0.05</v>
      </c>
      <c r="B31" s="4">
        <v>80</v>
      </c>
      <c r="C31" s="4">
        <v>100</v>
      </c>
      <c r="D31" s="4">
        <v>100</v>
      </c>
      <c r="E31" s="4">
        <v>70</v>
      </c>
      <c r="F31" s="4">
        <v>50</v>
      </c>
      <c r="G31" s="4">
        <v>80</v>
      </c>
      <c r="J31">
        <v>0.95</v>
      </c>
    </row>
    <row r="32" spans="1:17" x14ac:dyDescent="0.2">
      <c r="A32" s="2">
        <v>0.1</v>
      </c>
      <c r="B32" s="4">
        <v>80</v>
      </c>
      <c r="C32" s="4">
        <v>100</v>
      </c>
      <c r="D32" s="4">
        <v>100</v>
      </c>
      <c r="E32" s="4">
        <v>70</v>
      </c>
      <c r="F32" s="4">
        <v>50</v>
      </c>
      <c r="G32" s="4">
        <v>80</v>
      </c>
      <c r="J32" t="s">
        <v>53</v>
      </c>
      <c r="K32" t="s">
        <v>55</v>
      </c>
    </row>
    <row r="33" spans="1:17" x14ac:dyDescent="0.2">
      <c r="A33" s="2">
        <v>0.15</v>
      </c>
      <c r="B33" s="4">
        <v>82</v>
      </c>
      <c r="C33" s="4">
        <v>100</v>
      </c>
      <c r="D33" s="4">
        <v>100</v>
      </c>
      <c r="E33" s="4">
        <v>70</v>
      </c>
      <c r="F33" s="4">
        <v>60</v>
      </c>
      <c r="G33" s="4">
        <v>80</v>
      </c>
      <c r="J33">
        <v>6</v>
      </c>
      <c r="K33">
        <f>J33-1</f>
        <v>5</v>
      </c>
      <c r="M33" t="s">
        <v>57</v>
      </c>
    </row>
    <row r="34" spans="1:17" x14ac:dyDescent="0.2">
      <c r="A34" s="2">
        <v>0.2</v>
      </c>
      <c r="B34" s="4">
        <v>82</v>
      </c>
      <c r="C34" s="4">
        <v>100</v>
      </c>
      <c r="D34" s="4">
        <v>100</v>
      </c>
      <c r="E34" s="4">
        <v>70</v>
      </c>
      <c r="F34" s="4">
        <v>60</v>
      </c>
      <c r="G34" s="4">
        <v>80</v>
      </c>
      <c r="M34" t="str">
        <f>I2</f>
        <v>OneTarget</v>
      </c>
      <c r="N34" t="str">
        <f t="shared" ref="N34:Q34" si="4">J2</f>
        <v>TwoTargets</v>
      </c>
      <c r="O34" t="str">
        <f t="shared" si="4"/>
        <v>ThreeTargets</v>
      </c>
      <c r="P34" t="str">
        <f t="shared" si="4"/>
        <v>FourTargets</v>
      </c>
      <c r="Q34" t="str">
        <f t="shared" si="4"/>
        <v>FiveTargets</v>
      </c>
    </row>
    <row r="35" spans="1:17" x14ac:dyDescent="0.2">
      <c r="A35" s="2">
        <v>0.25</v>
      </c>
      <c r="B35" s="4">
        <v>80</v>
      </c>
      <c r="C35" s="4">
        <v>100</v>
      </c>
      <c r="D35" s="4">
        <v>90</v>
      </c>
      <c r="E35" s="4">
        <v>70</v>
      </c>
      <c r="F35" s="4">
        <v>60</v>
      </c>
      <c r="G35" s="4">
        <v>80</v>
      </c>
      <c r="J35" t="s">
        <v>54</v>
      </c>
      <c r="K35" t="s">
        <v>56</v>
      </c>
      <c r="L35">
        <f>A30</f>
        <v>0</v>
      </c>
      <c r="M35">
        <f>I3*$K$36/SQRT($J$33)</f>
        <v>4.285000000000001</v>
      </c>
      <c r="N35">
        <f>J3*$K$36/SQRT($J$33)</f>
        <v>15.802299199800029</v>
      </c>
      <c r="O35">
        <f t="shared" ref="O35:Q35" si="5">K3*$K$36/SQRT($J$33)</f>
        <v>13.950949250857443</v>
      </c>
      <c r="P35">
        <f t="shared" si="5"/>
        <v>25.422728413763927</v>
      </c>
      <c r="Q35">
        <f t="shared" si="5"/>
        <v>10.840287819057194</v>
      </c>
    </row>
    <row r="36" spans="1:17" x14ac:dyDescent="0.2">
      <c r="A36" s="2">
        <v>0.3</v>
      </c>
      <c r="B36" s="4">
        <v>80</v>
      </c>
      <c r="C36" s="4">
        <v>100</v>
      </c>
      <c r="D36" s="4">
        <v>80</v>
      </c>
      <c r="E36" s="4">
        <v>60</v>
      </c>
      <c r="F36" s="4">
        <v>70</v>
      </c>
      <c r="G36" s="4">
        <v>90</v>
      </c>
      <c r="J36">
        <f>(1-J31)/2</f>
        <v>2.5000000000000022E-2</v>
      </c>
      <c r="K36">
        <v>2.5710000000000002</v>
      </c>
      <c r="L36">
        <f t="shared" ref="L36:L38" si="6">A31</f>
        <v>0.05</v>
      </c>
      <c r="M36">
        <f t="shared" ref="M36:N36" si="7">I4*$K$36/SQRT($J$33)</f>
        <v>4.285000000000001</v>
      </c>
      <c r="N36">
        <f t="shared" si="7"/>
        <v>15.802299199800029</v>
      </c>
      <c r="O36">
        <f t="shared" ref="O36:O38" si="8">K4*$K$36/SQRT($J$33)</f>
        <v>12.711364206881989</v>
      </c>
      <c r="P36">
        <f t="shared" ref="P36:P38" si="9">L4*$K$36/SQRT($J$33)</f>
        <v>22.429836490710311</v>
      </c>
      <c r="Q36">
        <f t="shared" ref="Q36:Q38" si="10">M4*$K$36/SQRT($J$33)</f>
        <v>14.340352854794046</v>
      </c>
    </row>
    <row r="37" spans="1:17" x14ac:dyDescent="0.2">
      <c r="A37" s="2">
        <v>0.35</v>
      </c>
      <c r="B37" s="4">
        <v>72</v>
      </c>
      <c r="C37" s="4">
        <v>100</v>
      </c>
      <c r="D37" s="4">
        <v>80</v>
      </c>
      <c r="E37" s="4">
        <v>50</v>
      </c>
      <c r="F37" s="4">
        <v>50</v>
      </c>
      <c r="G37" s="4">
        <v>80</v>
      </c>
      <c r="L37">
        <f t="shared" si="6"/>
        <v>0.1</v>
      </c>
      <c r="M37">
        <f t="shared" ref="M37:N37" si="11">I5*$K$36/SQRT($J$33)</f>
        <v>4.285000000000001</v>
      </c>
      <c r="N37">
        <f t="shared" si="11"/>
        <v>12.270372651227857</v>
      </c>
      <c r="O37">
        <f t="shared" si="8"/>
        <v>14.843675420865281</v>
      </c>
      <c r="P37">
        <f t="shared" si="9"/>
        <v>20.639293108049991</v>
      </c>
      <c r="Q37">
        <f t="shared" si="10"/>
        <v>12.855000000000002</v>
      </c>
    </row>
    <row r="38" spans="1:17" x14ac:dyDescent="0.2">
      <c r="A38" s="2">
        <v>0.4</v>
      </c>
      <c r="B38" s="4">
        <v>70</v>
      </c>
      <c r="C38" s="4">
        <v>100</v>
      </c>
      <c r="D38" s="4">
        <v>80</v>
      </c>
      <c r="E38" s="4">
        <v>40</v>
      </c>
      <c r="F38" s="4">
        <v>60</v>
      </c>
      <c r="G38" s="4">
        <v>70</v>
      </c>
      <c r="L38">
        <f t="shared" si="6"/>
        <v>0.15</v>
      </c>
      <c r="M38">
        <f t="shared" ref="M38:N38" si="12">I6*$K$36/SQRT($J$33)</f>
        <v>4.285000000000001</v>
      </c>
      <c r="N38">
        <f t="shared" si="12"/>
        <v>12.711364206881989</v>
      </c>
      <c r="O38">
        <f t="shared" si="8"/>
        <v>10.840287819057231</v>
      </c>
      <c r="P38">
        <f t="shared" si="9"/>
        <v>22.674088735823535</v>
      </c>
      <c r="Q38">
        <f t="shared" si="10"/>
        <v>12.711364206881957</v>
      </c>
    </row>
    <row r="39" spans="1:17" x14ac:dyDescent="0.2">
      <c r="A39" s="2">
        <v>0.17499999999999999</v>
      </c>
      <c r="B39" s="4">
        <v>82</v>
      </c>
      <c r="C39" s="4">
        <v>100</v>
      </c>
      <c r="D39" s="4">
        <v>100</v>
      </c>
      <c r="E39" s="4">
        <v>70</v>
      </c>
      <c r="F39" s="4">
        <v>60</v>
      </c>
      <c r="G39" s="4">
        <v>80</v>
      </c>
      <c r="L39">
        <f>A39</f>
        <v>0.17499999999999999</v>
      </c>
      <c r="M39">
        <f>I12*$K$36/SQRT($J$33)</f>
        <v>4.285000000000001</v>
      </c>
      <c r="N39">
        <f>J12*$K$36/SQRT($J$33)</f>
        <v>10.319646554025026</v>
      </c>
      <c r="O39">
        <f>K12*$K$36/SQRT($J$33)</f>
        <v>12.270372651227857</v>
      </c>
      <c r="P39">
        <f>L12*$K$36/SQRT($J$33)</f>
        <v>15.449787215363187</v>
      </c>
      <c r="Q39">
        <f>M12*$K$36/SQRT($J$33)</f>
        <v>12.270372651227827</v>
      </c>
    </row>
    <row r="40" spans="1:17" x14ac:dyDescent="0.2">
      <c r="A40" s="2">
        <v>0.22500000000000001</v>
      </c>
      <c r="B40" s="4">
        <v>84</v>
      </c>
      <c r="C40" s="4">
        <v>100</v>
      </c>
      <c r="D40" s="4">
        <v>100</v>
      </c>
      <c r="E40" s="4">
        <v>80</v>
      </c>
      <c r="F40" s="4">
        <v>60</v>
      </c>
      <c r="G40" s="4">
        <v>80</v>
      </c>
      <c r="L40">
        <f>A34</f>
        <v>0.2</v>
      </c>
      <c r="M40">
        <f>I7*$K$36/SQRT($J$33)</f>
        <v>4.285000000000001</v>
      </c>
      <c r="N40">
        <f>J7*$K$36/SQRT($J$33)</f>
        <v>12.711364206881989</v>
      </c>
      <c r="O40">
        <f>K7*$K$36/SQRT($J$33)</f>
        <v>10.840287819057231</v>
      </c>
      <c r="P40">
        <f>L7*$K$36/SQRT($J$33)</f>
        <v>22.674088735823535</v>
      </c>
      <c r="Q40">
        <f>M7*$K$36/SQRT($J$33)</f>
        <v>14.340352854794046</v>
      </c>
    </row>
    <row r="41" spans="1:17" x14ac:dyDescent="0.2">
      <c r="L41">
        <f>A40</f>
        <v>0.22500000000000001</v>
      </c>
      <c r="M41">
        <f>I13*$K$36/SQRT($J$33)</f>
        <v>4.285000000000001</v>
      </c>
      <c r="N41">
        <f>J13*$K$36/SQRT($J$33)</f>
        <v>10.319646554025026</v>
      </c>
      <c r="O41">
        <f>K13*$K$36/SQRT($J$33)</f>
        <v>10.840287819057231</v>
      </c>
      <c r="P41">
        <f>L13*$K$36/SQRT($J$33)</f>
        <v>15.918068507202753</v>
      </c>
      <c r="Q41">
        <f>M13*$K$36/SQRT($J$33)</f>
        <v>13.950949250857443</v>
      </c>
    </row>
    <row r="42" spans="1:17" x14ac:dyDescent="0.2">
      <c r="A42" s="2" t="s">
        <v>43</v>
      </c>
      <c r="L42">
        <f>A35</f>
        <v>0.25</v>
      </c>
      <c r="M42">
        <f t="shared" ref="M42:Q45" si="13">I8*$K$36/SQRT($J$33)</f>
        <v>4.285000000000001</v>
      </c>
      <c r="N42">
        <f t="shared" si="13"/>
        <v>8.5700000000000021</v>
      </c>
      <c r="O42">
        <f t="shared" si="13"/>
        <v>7.9011495999000063</v>
      </c>
      <c r="P42">
        <f t="shared" si="13"/>
        <v>15.918068507202753</v>
      </c>
      <c r="Q42">
        <f t="shared" si="13"/>
        <v>14.340352854794046</v>
      </c>
    </row>
    <row r="43" spans="1:17" x14ac:dyDescent="0.2">
      <c r="A43" s="13"/>
      <c r="B43" s="2" t="s">
        <v>59</v>
      </c>
      <c r="C43" s="2" t="s">
        <v>60</v>
      </c>
      <c r="D43" s="2" t="s">
        <v>61</v>
      </c>
      <c r="E43" s="2" t="s">
        <v>62</v>
      </c>
      <c r="F43" s="2" t="s">
        <v>63</v>
      </c>
      <c r="G43" s="2" t="s">
        <v>64</v>
      </c>
      <c r="L43">
        <f>A36</f>
        <v>0.3</v>
      </c>
      <c r="M43">
        <f t="shared" si="13"/>
        <v>4.285000000000001</v>
      </c>
      <c r="N43">
        <f t="shared" si="13"/>
        <v>12.270372651227857</v>
      </c>
      <c r="O43">
        <f t="shared" si="13"/>
        <v>15.449787215363214</v>
      </c>
      <c r="P43">
        <f t="shared" si="13"/>
        <v>13.950949250857443</v>
      </c>
      <c r="Q43">
        <f t="shared" si="13"/>
        <v>19.63633685288578</v>
      </c>
    </row>
    <row r="44" spans="1:17" x14ac:dyDescent="0.2">
      <c r="A44" s="2">
        <v>0</v>
      </c>
      <c r="B44" s="4">
        <v>76</v>
      </c>
      <c r="C44" s="4">
        <v>100</v>
      </c>
      <c r="D44" s="4">
        <v>90</v>
      </c>
      <c r="E44" s="4">
        <v>70</v>
      </c>
      <c r="F44" s="4">
        <v>60</v>
      </c>
      <c r="G44" s="4">
        <v>60</v>
      </c>
      <c r="L44">
        <f>A37</f>
        <v>0.35</v>
      </c>
      <c r="M44">
        <f t="shared" si="13"/>
        <v>4.285000000000001</v>
      </c>
      <c r="N44">
        <f t="shared" si="13"/>
        <v>6.6382934553995137</v>
      </c>
      <c r="O44">
        <f t="shared" si="13"/>
        <v>20.370657451344076</v>
      </c>
      <c r="P44">
        <f t="shared" si="13"/>
        <v>16.260431728585807</v>
      </c>
      <c r="Q44">
        <f t="shared" si="13"/>
        <v>19.914880366198542</v>
      </c>
    </row>
    <row r="45" spans="1:17" x14ac:dyDescent="0.2">
      <c r="A45" s="2">
        <v>0.05</v>
      </c>
      <c r="B45" s="4">
        <v>78</v>
      </c>
      <c r="C45" s="4">
        <v>100</v>
      </c>
      <c r="D45" s="4">
        <v>90</v>
      </c>
      <c r="E45" s="4">
        <v>80</v>
      </c>
      <c r="F45" s="4">
        <v>60</v>
      </c>
      <c r="G45" s="4">
        <v>60</v>
      </c>
      <c r="L45">
        <f>A38</f>
        <v>0.4</v>
      </c>
      <c r="M45">
        <f t="shared" si="13"/>
        <v>4.285000000000001</v>
      </c>
      <c r="N45">
        <f t="shared" si="13"/>
        <v>8.5700000000000021</v>
      </c>
      <c r="O45">
        <f t="shared" si="13"/>
        <v>20.370657451344076</v>
      </c>
      <c r="P45">
        <f t="shared" si="13"/>
        <v>17.13999999999999</v>
      </c>
      <c r="Q45">
        <f t="shared" si="13"/>
        <v>15.449787215363202</v>
      </c>
    </row>
    <row r="46" spans="1:17" x14ac:dyDescent="0.2">
      <c r="A46" s="2">
        <v>0.1</v>
      </c>
      <c r="B46" s="4">
        <v>78</v>
      </c>
      <c r="C46" s="4">
        <v>100</v>
      </c>
      <c r="D46" s="4">
        <v>90</v>
      </c>
      <c r="E46" s="4">
        <v>80</v>
      </c>
      <c r="F46" s="4">
        <v>60</v>
      </c>
      <c r="G46" s="4">
        <v>60</v>
      </c>
      <c r="M46" t="str">
        <f>M34</f>
        <v>OneTarget</v>
      </c>
      <c r="N46" t="str">
        <f t="shared" ref="N46:Q46" si="14">N34</f>
        <v>TwoTargets</v>
      </c>
      <c r="O46" t="str">
        <f t="shared" si="14"/>
        <v>ThreeTargets</v>
      </c>
      <c r="P46" t="str">
        <f t="shared" si="14"/>
        <v>FourTargets</v>
      </c>
      <c r="Q46" t="str">
        <f t="shared" si="14"/>
        <v>FiveTargets</v>
      </c>
    </row>
    <row r="47" spans="1:17" x14ac:dyDescent="0.2">
      <c r="A47" s="2">
        <v>0.15</v>
      </c>
      <c r="B47" s="4">
        <v>74</v>
      </c>
      <c r="C47" s="4">
        <v>100</v>
      </c>
      <c r="D47" s="4">
        <v>80</v>
      </c>
      <c r="E47" s="4">
        <v>80</v>
      </c>
      <c r="F47" s="4">
        <v>50</v>
      </c>
      <c r="G47" s="4">
        <v>60</v>
      </c>
      <c r="L47">
        <f>L35</f>
        <v>0</v>
      </c>
      <c r="M47">
        <f>M35/100</f>
        <v>4.2850000000000013E-2</v>
      </c>
      <c r="N47">
        <f t="shared" ref="N47:Q47" si="15">N35/100</f>
        <v>0.1580229919980003</v>
      </c>
      <c r="O47">
        <f t="shared" si="15"/>
        <v>0.13950949250857442</v>
      </c>
      <c r="P47">
        <f t="shared" si="15"/>
        <v>0.25422728413763929</v>
      </c>
      <c r="Q47">
        <f t="shared" si="15"/>
        <v>0.10840287819057194</v>
      </c>
    </row>
    <row r="48" spans="1:17" x14ac:dyDescent="0.2">
      <c r="A48" s="2">
        <v>0.2</v>
      </c>
      <c r="B48" s="4">
        <v>78</v>
      </c>
      <c r="C48" s="4">
        <v>100</v>
      </c>
      <c r="D48" s="4">
        <v>80</v>
      </c>
      <c r="E48" s="4">
        <v>80</v>
      </c>
      <c r="F48" s="4">
        <v>50</v>
      </c>
      <c r="G48" s="4">
        <v>80</v>
      </c>
      <c r="L48">
        <f t="shared" ref="L48:L55" si="16">L36</f>
        <v>0.05</v>
      </c>
      <c r="M48">
        <f t="shared" ref="M48:Q48" si="17">M36/100</f>
        <v>4.2850000000000013E-2</v>
      </c>
      <c r="N48">
        <f t="shared" si="17"/>
        <v>0.1580229919980003</v>
      </c>
      <c r="O48">
        <f t="shared" si="17"/>
        <v>0.12711364206881989</v>
      </c>
      <c r="P48">
        <f t="shared" si="17"/>
        <v>0.22429836490710311</v>
      </c>
      <c r="Q48">
        <f t="shared" si="17"/>
        <v>0.14340352854794047</v>
      </c>
    </row>
    <row r="49" spans="1:17" x14ac:dyDescent="0.2">
      <c r="A49" s="2">
        <v>0.25</v>
      </c>
      <c r="B49" s="4">
        <v>78</v>
      </c>
      <c r="C49" s="4">
        <v>100</v>
      </c>
      <c r="D49" s="4">
        <v>80</v>
      </c>
      <c r="E49" s="4">
        <v>80</v>
      </c>
      <c r="F49" s="4">
        <v>60</v>
      </c>
      <c r="G49" s="4">
        <v>70</v>
      </c>
      <c r="L49">
        <f t="shared" si="16"/>
        <v>0.1</v>
      </c>
      <c r="M49">
        <f t="shared" ref="M49:Q49" si="18">M37/100</f>
        <v>4.2850000000000013E-2</v>
      </c>
      <c r="N49">
        <f t="shared" si="18"/>
        <v>0.12270372651227858</v>
      </c>
      <c r="O49">
        <f t="shared" si="18"/>
        <v>0.14843675420865282</v>
      </c>
      <c r="P49">
        <f t="shared" si="18"/>
        <v>0.20639293108049991</v>
      </c>
      <c r="Q49">
        <f t="shared" si="18"/>
        <v>0.12855000000000003</v>
      </c>
    </row>
    <row r="50" spans="1:17" x14ac:dyDescent="0.2">
      <c r="A50" s="2">
        <v>0.3</v>
      </c>
      <c r="B50" s="4">
        <v>70</v>
      </c>
      <c r="C50" s="4">
        <v>100</v>
      </c>
      <c r="D50" s="4">
        <v>70</v>
      </c>
      <c r="E50" s="4">
        <v>70</v>
      </c>
      <c r="F50" s="4">
        <v>50</v>
      </c>
      <c r="G50" s="4">
        <v>60</v>
      </c>
      <c r="L50">
        <f t="shared" si="16"/>
        <v>0.15</v>
      </c>
      <c r="M50">
        <f t="shared" ref="M50:Q50" si="19">M38/100</f>
        <v>4.2850000000000013E-2</v>
      </c>
      <c r="N50">
        <f t="shared" si="19"/>
        <v>0.12711364206881989</v>
      </c>
      <c r="O50">
        <f t="shared" si="19"/>
        <v>0.10840287819057232</v>
      </c>
      <c r="P50">
        <f t="shared" si="19"/>
        <v>0.22674088735823536</v>
      </c>
      <c r="Q50">
        <f t="shared" si="19"/>
        <v>0.12711364206881956</v>
      </c>
    </row>
    <row r="51" spans="1:17" x14ac:dyDescent="0.2">
      <c r="A51" s="2">
        <v>0.35</v>
      </c>
      <c r="B51" s="4">
        <v>68</v>
      </c>
      <c r="C51" s="4">
        <v>100</v>
      </c>
      <c r="D51" s="4">
        <v>80</v>
      </c>
      <c r="E51" s="4">
        <v>70</v>
      </c>
      <c r="F51" s="4">
        <v>50</v>
      </c>
      <c r="G51" s="4">
        <v>40</v>
      </c>
      <c r="L51">
        <f t="shared" si="16"/>
        <v>0.17499999999999999</v>
      </c>
      <c r="M51">
        <f t="shared" ref="M51:Q51" si="20">M39/100</f>
        <v>4.2850000000000013E-2</v>
      </c>
      <c r="N51">
        <f t="shared" si="20"/>
        <v>0.10319646554025025</v>
      </c>
      <c r="O51">
        <f t="shared" si="20"/>
        <v>0.12270372651227858</v>
      </c>
      <c r="P51">
        <f t="shared" si="20"/>
        <v>0.15449787215363187</v>
      </c>
      <c r="Q51">
        <f t="shared" si="20"/>
        <v>0.12270372651227827</v>
      </c>
    </row>
    <row r="52" spans="1:17" x14ac:dyDescent="0.2">
      <c r="A52" s="2">
        <v>0.4</v>
      </c>
      <c r="B52" s="4">
        <v>60</v>
      </c>
      <c r="C52" s="4">
        <v>100</v>
      </c>
      <c r="D52" s="4">
        <v>70</v>
      </c>
      <c r="E52" s="4">
        <v>50</v>
      </c>
      <c r="F52" s="4">
        <v>50</v>
      </c>
      <c r="G52" s="4">
        <v>30</v>
      </c>
      <c r="L52">
        <f t="shared" si="16"/>
        <v>0.2</v>
      </c>
      <c r="M52">
        <f t="shared" ref="M52:Q52" si="21">M40/100</f>
        <v>4.2850000000000013E-2</v>
      </c>
      <c r="N52">
        <f t="shared" si="21"/>
        <v>0.12711364206881989</v>
      </c>
      <c r="O52">
        <f t="shared" si="21"/>
        <v>0.10840287819057232</v>
      </c>
      <c r="P52">
        <f t="shared" si="21"/>
        <v>0.22674088735823536</v>
      </c>
      <c r="Q52">
        <f t="shared" si="21"/>
        <v>0.14340352854794047</v>
      </c>
    </row>
    <row r="53" spans="1:17" x14ac:dyDescent="0.2">
      <c r="A53" s="2">
        <v>0.17499999999999999</v>
      </c>
      <c r="B53" s="4">
        <v>78</v>
      </c>
      <c r="C53" s="4">
        <v>100</v>
      </c>
      <c r="D53" s="4">
        <v>80</v>
      </c>
      <c r="E53" s="4">
        <v>80</v>
      </c>
      <c r="F53" s="4">
        <v>60</v>
      </c>
      <c r="G53" s="4">
        <v>70</v>
      </c>
      <c r="L53">
        <f t="shared" si="16"/>
        <v>0.22500000000000001</v>
      </c>
      <c r="M53">
        <f t="shared" ref="M53:Q53" si="22">M41/100</f>
        <v>4.2850000000000013E-2</v>
      </c>
      <c r="N53">
        <f t="shared" si="22"/>
        <v>0.10319646554025025</v>
      </c>
      <c r="O53">
        <f t="shared" si="22"/>
        <v>0.10840287819057232</v>
      </c>
      <c r="P53">
        <f t="shared" si="22"/>
        <v>0.15918068507202754</v>
      </c>
      <c r="Q53">
        <f t="shared" si="22"/>
        <v>0.13950949250857442</v>
      </c>
    </row>
    <row r="54" spans="1:17" x14ac:dyDescent="0.2">
      <c r="A54" s="2">
        <v>0.22500000000000001</v>
      </c>
      <c r="B54" s="4">
        <v>80</v>
      </c>
      <c r="C54" s="4">
        <v>100</v>
      </c>
      <c r="D54" s="4">
        <v>80</v>
      </c>
      <c r="E54" s="4">
        <v>80</v>
      </c>
      <c r="F54" s="4">
        <v>60</v>
      </c>
      <c r="G54" s="4">
        <v>80</v>
      </c>
      <c r="L54">
        <f t="shared" si="16"/>
        <v>0.25</v>
      </c>
      <c r="M54">
        <f t="shared" ref="M54:Q54" si="23">M42/100</f>
        <v>4.2850000000000013E-2</v>
      </c>
      <c r="N54">
        <f t="shared" si="23"/>
        <v>8.5700000000000026E-2</v>
      </c>
      <c r="O54">
        <f t="shared" si="23"/>
        <v>7.9011495999000064E-2</v>
      </c>
      <c r="P54">
        <f t="shared" si="23"/>
        <v>0.15918068507202754</v>
      </c>
      <c r="Q54">
        <f t="shared" si="23"/>
        <v>0.14340352854794047</v>
      </c>
    </row>
    <row r="55" spans="1:17" x14ac:dyDescent="0.2">
      <c r="L55">
        <f t="shared" si="16"/>
        <v>0.3</v>
      </c>
      <c r="M55">
        <f t="shared" ref="M55:Q55" si="24">M43/100</f>
        <v>4.2850000000000013E-2</v>
      </c>
      <c r="N55">
        <f t="shared" si="24"/>
        <v>0.12270372651227858</v>
      </c>
      <c r="O55">
        <f t="shared" si="24"/>
        <v>0.15449787215363214</v>
      </c>
      <c r="P55">
        <f t="shared" si="24"/>
        <v>0.13950949250857442</v>
      </c>
      <c r="Q55">
        <f t="shared" si="24"/>
        <v>0.1963633685288578</v>
      </c>
    </row>
    <row r="56" spans="1:17" x14ac:dyDescent="0.2">
      <c r="A56" s="2" t="s">
        <v>44</v>
      </c>
      <c r="L56">
        <f>L44</f>
        <v>0.35</v>
      </c>
      <c r="M56">
        <f t="shared" ref="M56:Q56" si="25">M44/100</f>
        <v>4.2850000000000013E-2</v>
      </c>
      <c r="N56">
        <f t="shared" si="25"/>
        <v>6.6382934553995132E-2</v>
      </c>
      <c r="O56">
        <f t="shared" si="25"/>
        <v>0.20370657451344076</v>
      </c>
      <c r="P56">
        <f t="shared" si="25"/>
        <v>0.16260431728585809</v>
      </c>
      <c r="Q56">
        <f t="shared" si="25"/>
        <v>0.19914880366198542</v>
      </c>
    </row>
    <row r="57" spans="1:17" x14ac:dyDescent="0.2">
      <c r="A57" s="13"/>
      <c r="B57" s="2" t="s">
        <v>59</v>
      </c>
      <c r="C57" s="2" t="s">
        <v>60</v>
      </c>
      <c r="D57" s="2" t="s">
        <v>61</v>
      </c>
      <c r="E57" s="2" t="s">
        <v>62</v>
      </c>
      <c r="F57" s="2" t="s">
        <v>63</v>
      </c>
      <c r="G57" s="2" t="s">
        <v>64</v>
      </c>
      <c r="L57">
        <f>L45</f>
        <v>0.4</v>
      </c>
      <c r="M57">
        <f t="shared" ref="M57:Q57" si="26">M45/100</f>
        <v>4.2850000000000013E-2</v>
      </c>
      <c r="N57">
        <f t="shared" si="26"/>
        <v>8.5700000000000026E-2</v>
      </c>
      <c r="O57">
        <f t="shared" si="26"/>
        <v>0.20370657451344076</v>
      </c>
      <c r="P57">
        <f t="shared" si="26"/>
        <v>0.17139999999999989</v>
      </c>
      <c r="Q57">
        <f t="shared" si="26"/>
        <v>0.154497872153632</v>
      </c>
    </row>
    <row r="58" spans="1:17" x14ac:dyDescent="0.2">
      <c r="A58" s="2">
        <v>0</v>
      </c>
      <c r="B58" s="4">
        <v>64</v>
      </c>
      <c r="C58" s="4">
        <v>90</v>
      </c>
      <c r="D58" s="4">
        <v>60</v>
      </c>
      <c r="E58" s="4">
        <v>50</v>
      </c>
      <c r="F58" s="4">
        <v>60</v>
      </c>
      <c r="G58" s="4">
        <v>60</v>
      </c>
    </row>
    <row r="59" spans="1:17" x14ac:dyDescent="0.2">
      <c r="A59" s="2">
        <v>0.05</v>
      </c>
      <c r="B59" s="4">
        <v>64</v>
      </c>
      <c r="C59" s="4">
        <v>90</v>
      </c>
      <c r="D59" s="4">
        <v>60</v>
      </c>
      <c r="E59" s="4">
        <v>60</v>
      </c>
      <c r="F59" s="4">
        <v>60</v>
      </c>
      <c r="G59" s="4">
        <v>50</v>
      </c>
    </row>
    <row r="60" spans="1:17" x14ac:dyDescent="0.2">
      <c r="A60" s="2">
        <v>0.1</v>
      </c>
      <c r="B60" s="4">
        <v>72</v>
      </c>
      <c r="C60" s="4">
        <v>90</v>
      </c>
      <c r="D60" s="4">
        <v>70</v>
      </c>
      <c r="E60" s="4">
        <v>60</v>
      </c>
      <c r="F60" s="4">
        <v>80</v>
      </c>
      <c r="G60" s="4">
        <v>60</v>
      </c>
    </row>
    <row r="61" spans="1:17" x14ac:dyDescent="0.2">
      <c r="A61" s="2">
        <v>0.15</v>
      </c>
      <c r="B61" s="4">
        <v>74</v>
      </c>
      <c r="C61" s="4">
        <v>90</v>
      </c>
      <c r="D61" s="4">
        <v>70</v>
      </c>
      <c r="E61" s="4">
        <v>80</v>
      </c>
      <c r="F61" s="4">
        <v>70</v>
      </c>
      <c r="G61" s="4">
        <v>60</v>
      </c>
    </row>
    <row r="62" spans="1:17" x14ac:dyDescent="0.2">
      <c r="A62" s="2">
        <v>0.2</v>
      </c>
      <c r="B62" s="4">
        <v>72</v>
      </c>
      <c r="C62" s="4">
        <v>90</v>
      </c>
      <c r="D62" s="4">
        <v>70</v>
      </c>
      <c r="E62" s="4">
        <v>80</v>
      </c>
      <c r="F62" s="4">
        <v>70</v>
      </c>
      <c r="G62" s="4">
        <v>50</v>
      </c>
    </row>
    <row r="63" spans="1:17" x14ac:dyDescent="0.2">
      <c r="A63" s="2">
        <v>0.25</v>
      </c>
      <c r="B63" s="4">
        <v>74</v>
      </c>
      <c r="C63" s="4">
        <v>90</v>
      </c>
      <c r="D63" s="4">
        <v>80</v>
      </c>
      <c r="E63" s="4">
        <v>80</v>
      </c>
      <c r="F63" s="4">
        <v>70</v>
      </c>
      <c r="G63" s="4">
        <v>50</v>
      </c>
    </row>
    <row r="64" spans="1:17" x14ac:dyDescent="0.2">
      <c r="A64" s="2">
        <v>0.3</v>
      </c>
      <c r="B64" s="4">
        <v>70</v>
      </c>
      <c r="C64" s="4">
        <v>90</v>
      </c>
      <c r="D64" s="4">
        <v>70</v>
      </c>
      <c r="E64" s="4">
        <v>80</v>
      </c>
      <c r="F64" s="4">
        <v>70</v>
      </c>
      <c r="G64" s="4">
        <v>40</v>
      </c>
    </row>
    <row r="65" spans="1:7" x14ac:dyDescent="0.2">
      <c r="A65" s="2">
        <v>0.35</v>
      </c>
      <c r="B65" s="4">
        <v>66</v>
      </c>
      <c r="C65" s="4">
        <v>90</v>
      </c>
      <c r="D65" s="4">
        <v>70</v>
      </c>
      <c r="E65" s="4">
        <v>60</v>
      </c>
      <c r="F65" s="4">
        <v>70</v>
      </c>
      <c r="G65" s="4">
        <v>40</v>
      </c>
    </row>
    <row r="66" spans="1:7" x14ac:dyDescent="0.2">
      <c r="A66" s="2">
        <v>0.4</v>
      </c>
      <c r="B66" s="4">
        <v>62</v>
      </c>
      <c r="C66" s="4">
        <v>90</v>
      </c>
      <c r="D66" s="4">
        <v>70</v>
      </c>
      <c r="E66" s="4">
        <v>50</v>
      </c>
      <c r="F66" s="4">
        <v>60</v>
      </c>
      <c r="G66" s="4">
        <v>40</v>
      </c>
    </row>
    <row r="67" spans="1:7" x14ac:dyDescent="0.2">
      <c r="A67" s="2">
        <v>0.17499999999999999</v>
      </c>
      <c r="B67" s="4">
        <v>74</v>
      </c>
      <c r="C67" s="4">
        <v>90</v>
      </c>
      <c r="D67" s="4">
        <v>80</v>
      </c>
      <c r="E67" s="4">
        <v>70</v>
      </c>
      <c r="F67" s="4">
        <v>70</v>
      </c>
      <c r="G67" s="4">
        <v>60</v>
      </c>
    </row>
    <row r="68" spans="1:7" x14ac:dyDescent="0.2">
      <c r="A68" s="2">
        <v>0.22500000000000001</v>
      </c>
      <c r="B68" s="4">
        <v>74</v>
      </c>
      <c r="C68" s="4">
        <v>90</v>
      </c>
      <c r="D68" s="4">
        <v>80</v>
      </c>
      <c r="E68" s="4">
        <v>70</v>
      </c>
      <c r="F68" s="4">
        <v>70</v>
      </c>
      <c r="G68" s="4">
        <v>60</v>
      </c>
    </row>
    <row r="70" spans="1:7" x14ac:dyDescent="0.2">
      <c r="A70" s="2" t="s">
        <v>45</v>
      </c>
    </row>
    <row r="71" spans="1:7" x14ac:dyDescent="0.2">
      <c r="A71" s="13"/>
      <c r="B71" s="2" t="s">
        <v>59</v>
      </c>
      <c r="C71" s="2" t="s">
        <v>60</v>
      </c>
      <c r="D71" s="2" t="s">
        <v>61</v>
      </c>
      <c r="E71" s="2" t="s">
        <v>62</v>
      </c>
      <c r="F71" s="2" t="s">
        <v>63</v>
      </c>
      <c r="G71" s="2" t="s">
        <v>64</v>
      </c>
    </row>
    <row r="72" spans="1:7" x14ac:dyDescent="0.2">
      <c r="A72" s="2">
        <v>0</v>
      </c>
      <c r="B72" s="4">
        <v>68</v>
      </c>
      <c r="C72" s="4">
        <v>100</v>
      </c>
      <c r="D72" s="4">
        <v>80</v>
      </c>
      <c r="E72" s="4">
        <v>80</v>
      </c>
      <c r="F72" s="4">
        <v>30</v>
      </c>
      <c r="G72" s="4">
        <v>50</v>
      </c>
    </row>
    <row r="73" spans="1:7" x14ac:dyDescent="0.2">
      <c r="A73" s="2">
        <v>0.05</v>
      </c>
      <c r="B73" s="4">
        <v>70</v>
      </c>
      <c r="C73" s="4">
        <v>100</v>
      </c>
      <c r="D73" s="4">
        <v>80</v>
      </c>
      <c r="E73" s="4">
        <v>90</v>
      </c>
      <c r="F73" s="4">
        <v>30</v>
      </c>
      <c r="G73" s="4">
        <v>50</v>
      </c>
    </row>
    <row r="74" spans="1:7" x14ac:dyDescent="0.2">
      <c r="A74" s="2">
        <v>0.1</v>
      </c>
      <c r="B74" s="4">
        <v>74</v>
      </c>
      <c r="C74" s="4">
        <v>100</v>
      </c>
      <c r="D74" s="4">
        <v>80</v>
      </c>
      <c r="E74" s="4">
        <v>100</v>
      </c>
      <c r="F74" s="4">
        <v>40</v>
      </c>
      <c r="G74" s="4">
        <v>50</v>
      </c>
    </row>
    <row r="75" spans="1:7" x14ac:dyDescent="0.2">
      <c r="A75" s="2">
        <v>0.15</v>
      </c>
      <c r="B75" s="4">
        <v>72</v>
      </c>
      <c r="C75" s="4">
        <v>100</v>
      </c>
      <c r="D75" s="4">
        <v>80</v>
      </c>
      <c r="E75" s="4">
        <v>100</v>
      </c>
      <c r="F75" s="4">
        <v>30</v>
      </c>
      <c r="G75" s="4">
        <v>50</v>
      </c>
    </row>
    <row r="76" spans="1:7" x14ac:dyDescent="0.2">
      <c r="A76" s="2">
        <v>0.2</v>
      </c>
      <c r="B76" s="4">
        <v>72</v>
      </c>
      <c r="C76" s="4">
        <v>100</v>
      </c>
      <c r="D76" s="4">
        <v>80</v>
      </c>
      <c r="E76" s="4">
        <v>100</v>
      </c>
      <c r="F76" s="4">
        <v>30</v>
      </c>
      <c r="G76" s="4">
        <v>50</v>
      </c>
    </row>
    <row r="77" spans="1:7" x14ac:dyDescent="0.2">
      <c r="A77" s="2">
        <v>0.25</v>
      </c>
      <c r="B77" s="4">
        <v>72</v>
      </c>
      <c r="C77" s="4">
        <v>100</v>
      </c>
      <c r="D77" s="4">
        <v>80</v>
      </c>
      <c r="E77" s="4">
        <v>90</v>
      </c>
      <c r="F77" s="4">
        <v>40</v>
      </c>
      <c r="G77" s="4">
        <v>50</v>
      </c>
    </row>
    <row r="78" spans="1:7" x14ac:dyDescent="0.2">
      <c r="A78" s="2">
        <v>0.3</v>
      </c>
      <c r="B78" s="4">
        <v>72</v>
      </c>
      <c r="C78" s="4">
        <v>100</v>
      </c>
      <c r="D78" s="4">
        <v>80</v>
      </c>
      <c r="E78" s="4">
        <v>90</v>
      </c>
      <c r="F78" s="4">
        <v>40</v>
      </c>
      <c r="G78" s="4">
        <v>50</v>
      </c>
    </row>
    <row r="79" spans="1:7" x14ac:dyDescent="0.2">
      <c r="A79" s="2">
        <v>0.35</v>
      </c>
      <c r="B79" s="4">
        <v>66</v>
      </c>
      <c r="C79" s="4">
        <v>100</v>
      </c>
      <c r="D79" s="4">
        <v>80</v>
      </c>
      <c r="E79" s="4">
        <v>60</v>
      </c>
      <c r="F79" s="4">
        <v>40</v>
      </c>
      <c r="G79" s="4">
        <v>50</v>
      </c>
    </row>
    <row r="80" spans="1:7" x14ac:dyDescent="0.2">
      <c r="A80" s="2">
        <v>0.4</v>
      </c>
      <c r="B80" s="4">
        <v>66</v>
      </c>
      <c r="C80" s="4">
        <v>100</v>
      </c>
      <c r="D80" s="4">
        <v>90</v>
      </c>
      <c r="E80" s="4">
        <v>60</v>
      </c>
      <c r="F80" s="4">
        <v>30</v>
      </c>
      <c r="G80" s="4">
        <v>50</v>
      </c>
    </row>
    <row r="81" spans="1:7" x14ac:dyDescent="0.2">
      <c r="A81" s="2">
        <v>0.17499999999999999</v>
      </c>
      <c r="B81" s="4">
        <v>76</v>
      </c>
      <c r="C81" s="4">
        <v>100</v>
      </c>
      <c r="D81" s="4">
        <v>80</v>
      </c>
      <c r="E81" s="4">
        <v>100</v>
      </c>
      <c r="F81" s="4">
        <v>50</v>
      </c>
      <c r="G81" s="4">
        <v>50</v>
      </c>
    </row>
    <row r="82" spans="1:7" x14ac:dyDescent="0.2">
      <c r="A82" s="2">
        <v>0.22500000000000001</v>
      </c>
      <c r="B82" s="4">
        <v>74</v>
      </c>
      <c r="C82" s="4">
        <v>100</v>
      </c>
      <c r="D82" s="4">
        <v>80</v>
      </c>
      <c r="E82" s="4">
        <v>100</v>
      </c>
      <c r="F82" s="4">
        <v>40</v>
      </c>
      <c r="G82" s="4">
        <v>50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9FF1-8D6D-754D-A91B-87373A29A72A}">
  <dimension ref="A1:R95"/>
  <sheetViews>
    <sheetView topLeftCell="P26" workbookViewId="0">
      <selection activeCell="J19" sqref="J19"/>
    </sheetView>
  </sheetViews>
  <sheetFormatPr baseColWidth="10" defaultRowHeight="16" x14ac:dyDescent="0.2"/>
  <sheetData>
    <row r="1" spans="1:18" x14ac:dyDescent="0.2">
      <c r="A1" t="s">
        <v>0</v>
      </c>
      <c r="B1" s="1" t="s">
        <v>1</v>
      </c>
      <c r="C1" s="2" t="s">
        <v>2</v>
      </c>
      <c r="D1" s="2"/>
      <c r="E1" s="2" t="s">
        <v>3</v>
      </c>
      <c r="F1" s="2" t="s">
        <v>4</v>
      </c>
      <c r="G1" s="2" t="s">
        <v>5</v>
      </c>
      <c r="H1" s="2" t="s">
        <v>20</v>
      </c>
      <c r="I1" s="2" t="s">
        <v>21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</row>
    <row r="2" spans="1:18" x14ac:dyDescent="0.2">
      <c r="B2" s="2">
        <v>0</v>
      </c>
      <c r="C2" s="3">
        <v>0.98333333333333328</v>
      </c>
      <c r="D2" s="11">
        <f>E2*100</f>
        <v>0.92731198305084661</v>
      </c>
      <c r="E2" s="4">
        <v>9.2731198305084656E-3</v>
      </c>
      <c r="F2" s="4">
        <v>7.1761349999999904E-2</v>
      </c>
      <c r="G2" s="4">
        <v>5.0569999999999901E-4</v>
      </c>
      <c r="H2" s="4">
        <f>1.96 * (J2*100)/SQRT(Q2)</f>
        <v>0.33092575084408449</v>
      </c>
      <c r="I2" s="4">
        <f>1.96 * (J2*100)/SQRT(Q2)</f>
        <v>0.33092575084408449</v>
      </c>
      <c r="J2" s="4">
        <v>1.3078264508676779E-2</v>
      </c>
      <c r="K2" s="4">
        <v>5.4078084210526214</v>
      </c>
      <c r="L2" s="4">
        <v>0.21641759999999999</v>
      </c>
      <c r="M2" s="4">
        <v>0.21641759999999999</v>
      </c>
      <c r="N2" s="4">
        <v>0.21641759999999999</v>
      </c>
      <c r="O2" s="4" t="e">
        <v>#DIV/0!</v>
      </c>
      <c r="P2" s="4">
        <v>2.4221999999999699</v>
      </c>
      <c r="Q2" s="4">
        <v>60</v>
      </c>
      <c r="R2" s="5">
        <v>0.96666666666666667</v>
      </c>
    </row>
    <row r="3" spans="1:18" x14ac:dyDescent="0.2">
      <c r="B3" s="2">
        <v>0.05</v>
      </c>
      <c r="C3" s="3">
        <v>0.98333333333333328</v>
      </c>
      <c r="D3" s="11">
        <f t="shared" ref="D3:D13" si="0">E3*100</f>
        <v>0.92164405084745582</v>
      </c>
      <c r="E3" s="4">
        <v>9.2164405084745587E-3</v>
      </c>
      <c r="F3" s="4">
        <v>7.7672689999999905E-2</v>
      </c>
      <c r="G3" s="4">
        <v>6.0869999999999902E-4</v>
      </c>
      <c r="H3" s="4">
        <f t="shared" ref="H3:H12" si="1">1.96 * (J3*100)/SQRT(Q3)</f>
        <v>0.35128984970228988</v>
      </c>
      <c r="I3" s="4">
        <f t="shared" ref="I3:I12" si="2">1.96 * (J3*100)/SQRT(Q3)</f>
        <v>0.35128984970228988</v>
      </c>
      <c r="J3" s="4">
        <v>1.3883058546823217E-2</v>
      </c>
      <c r="K3" s="4">
        <v>5.3584298245613873</v>
      </c>
      <c r="L3" s="4">
        <v>0.20867954</v>
      </c>
      <c r="M3" s="4">
        <v>0.20867954</v>
      </c>
      <c r="N3" s="4">
        <v>0.20867954</v>
      </c>
      <c r="O3" s="4" t="e">
        <v>#DIV/0!</v>
      </c>
      <c r="P3" s="4">
        <v>2.2783999999999098</v>
      </c>
      <c r="Q3" s="4">
        <v>60</v>
      </c>
      <c r="R3" s="5">
        <v>0.96666666666666667</v>
      </c>
    </row>
    <row r="4" spans="1:18" x14ac:dyDescent="0.2">
      <c r="B4" s="2">
        <v>0.1</v>
      </c>
      <c r="C4" s="3">
        <v>0.98333333333333328</v>
      </c>
      <c r="D4" s="11">
        <f t="shared" si="0"/>
        <v>0.94753425423728632</v>
      </c>
      <c r="E4" s="4">
        <v>9.4753425423728631E-3</v>
      </c>
      <c r="F4" s="4">
        <v>7.9872239999999997E-2</v>
      </c>
      <c r="G4" s="4">
        <v>5.4960000000048297E-5</v>
      </c>
      <c r="H4" s="4">
        <f t="shared" si="1"/>
        <v>0.37297413043460498</v>
      </c>
      <c r="I4" s="4">
        <f t="shared" si="2"/>
        <v>0.37297413043460498</v>
      </c>
      <c r="J4" s="4">
        <v>1.4740026487136919E-2</v>
      </c>
      <c r="K4" s="4">
        <v>5.6016021052631606</v>
      </c>
      <c r="L4" s="4">
        <v>0.22601566000000001</v>
      </c>
      <c r="M4" s="4">
        <v>0.22601566000000001</v>
      </c>
      <c r="N4" s="4">
        <v>0.22601566000000001</v>
      </c>
      <c r="O4" s="4" t="e">
        <v>#DIV/0!</v>
      </c>
      <c r="P4" s="4">
        <v>2.2320000000001898</v>
      </c>
      <c r="Q4" s="4">
        <v>60</v>
      </c>
      <c r="R4" s="5">
        <v>0.96666666666666667</v>
      </c>
    </row>
    <row r="5" spans="1:18" x14ac:dyDescent="0.2">
      <c r="B5" s="2">
        <v>0.15</v>
      </c>
      <c r="C5" s="3">
        <v>0.98333333333333328</v>
      </c>
      <c r="D5" s="11">
        <f t="shared" si="0"/>
        <v>0.90027989830508104</v>
      </c>
      <c r="E5" s="4">
        <v>9.0027989830508102E-3</v>
      </c>
      <c r="F5" s="4">
        <v>7.43323499999997E-2</v>
      </c>
      <c r="G5" s="4">
        <v>1.5885999999975999E-4</v>
      </c>
      <c r="H5" s="4">
        <f t="shared" si="1"/>
        <v>0.34054399685205311</v>
      </c>
      <c r="I5" s="4">
        <f t="shared" si="2"/>
        <v>0.34054399685205311</v>
      </c>
      <c r="J5" s="4">
        <v>1.3458379882233805E-2</v>
      </c>
      <c r="K5" s="4">
        <v>5.2002105263157183</v>
      </c>
      <c r="L5" s="4">
        <v>0.27256833999999902</v>
      </c>
      <c r="M5" s="4">
        <v>0.27256833999999902</v>
      </c>
      <c r="N5" s="4">
        <v>0.27256833999999902</v>
      </c>
      <c r="O5" s="4" t="e">
        <v>#DIV/0!</v>
      </c>
      <c r="P5" s="4">
        <v>2.1759999999997</v>
      </c>
      <c r="Q5" s="4">
        <v>60</v>
      </c>
      <c r="R5" s="5">
        <v>0.96666666666666667</v>
      </c>
    </row>
    <row r="6" spans="1:18" x14ac:dyDescent="0.2">
      <c r="B6" s="2">
        <v>0.2</v>
      </c>
      <c r="C6" s="3">
        <v>0.98333333333333328</v>
      </c>
      <c r="D6" s="11">
        <f t="shared" si="0"/>
        <v>0.91654140677965912</v>
      </c>
      <c r="E6" s="4">
        <v>9.1654140677965915E-3</v>
      </c>
      <c r="F6" s="4">
        <v>8.1368239999999994E-2</v>
      </c>
      <c r="G6" s="4">
        <v>4.7370000000000002E-4</v>
      </c>
      <c r="H6" s="4">
        <f t="shared" si="1"/>
        <v>0.35214333112445145</v>
      </c>
      <c r="I6" s="4">
        <f t="shared" si="2"/>
        <v>0.35214333112445145</v>
      </c>
      <c r="J6" s="4">
        <v>1.3916788335949025E-2</v>
      </c>
      <c r="K6" s="4">
        <v>5.0057500000000124</v>
      </c>
      <c r="L6" s="4">
        <v>0.35890504000000001</v>
      </c>
      <c r="M6" s="4">
        <v>0.35890504000000001</v>
      </c>
      <c r="N6" s="4">
        <v>0.35890504000000001</v>
      </c>
      <c r="O6" s="4" t="e">
        <v>#DIV/0!</v>
      </c>
      <c r="P6" s="4">
        <v>2.3260000000000201</v>
      </c>
      <c r="Q6" s="4">
        <v>60</v>
      </c>
      <c r="R6" s="5">
        <v>0.95</v>
      </c>
    </row>
    <row r="7" spans="1:18" x14ac:dyDescent="0.2">
      <c r="B7" s="2">
        <v>0.25</v>
      </c>
      <c r="C7" s="3">
        <v>0.98333333333333328</v>
      </c>
      <c r="D7" s="11">
        <f t="shared" si="0"/>
        <v>0.86124976271186193</v>
      </c>
      <c r="E7" s="4">
        <v>8.6124976271186194E-3</v>
      </c>
      <c r="F7" s="4">
        <v>7.19389899999998E-2</v>
      </c>
      <c r="G7" s="4">
        <v>2.21059999999999E-4</v>
      </c>
      <c r="H7" s="4">
        <f t="shared" si="1"/>
        <v>0.33244637633666296</v>
      </c>
      <c r="I7" s="4">
        <f t="shared" si="2"/>
        <v>0.33244637633666296</v>
      </c>
      <c r="J7" s="4">
        <v>1.3138359990396932E-2</v>
      </c>
      <c r="K7" s="4">
        <v>4.8544363636363714</v>
      </c>
      <c r="L7" s="4">
        <v>0.37395872000000002</v>
      </c>
      <c r="M7" s="4">
        <v>0.37395872000000002</v>
      </c>
      <c r="N7" s="4">
        <v>0.37395872000000002</v>
      </c>
      <c r="O7" s="4" t="e">
        <v>#DIV/0!</v>
      </c>
      <c r="P7" s="4">
        <v>2.3609999999994198</v>
      </c>
      <c r="Q7" s="4">
        <v>60</v>
      </c>
      <c r="R7" s="5">
        <v>0.93333333333333335</v>
      </c>
    </row>
    <row r="8" spans="1:18" x14ac:dyDescent="0.2">
      <c r="B8" s="2">
        <v>0.3</v>
      </c>
      <c r="C8" s="3">
        <v>0.98333333333333328</v>
      </c>
      <c r="D8" s="11">
        <f t="shared" si="0"/>
        <v>0.86324532203389748</v>
      </c>
      <c r="E8" s="4">
        <v>8.6324532203389745E-3</v>
      </c>
      <c r="F8" s="4">
        <v>7.8393000000000004E-2</v>
      </c>
      <c r="G8" s="4">
        <v>6.0229999999883398E-5</v>
      </c>
      <c r="H8" s="4">
        <f t="shared" si="1"/>
        <v>0.35203045690302187</v>
      </c>
      <c r="I8" s="4">
        <f t="shared" si="2"/>
        <v>0.35203045690302187</v>
      </c>
      <c r="J8" s="4">
        <v>1.3912327519828486E-2</v>
      </c>
      <c r="K8" s="4">
        <v>4.5038973584905699</v>
      </c>
      <c r="L8" s="4">
        <v>0.3728224</v>
      </c>
      <c r="M8" s="4">
        <v>0.3728224</v>
      </c>
      <c r="N8" s="4">
        <v>0.3728224</v>
      </c>
      <c r="O8" s="4" t="e">
        <v>#DIV/0!</v>
      </c>
      <c r="P8" s="4">
        <v>2.1640000000002102</v>
      </c>
      <c r="Q8" s="4">
        <v>60</v>
      </c>
      <c r="R8" s="5">
        <v>0.9</v>
      </c>
    </row>
    <row r="9" spans="1:18" x14ac:dyDescent="0.2">
      <c r="B9" s="2">
        <v>0.35</v>
      </c>
      <c r="C9" s="3">
        <v>0.98333333333333328</v>
      </c>
      <c r="D9" s="11">
        <f t="shared" si="0"/>
        <v>0.85657545762711818</v>
      </c>
      <c r="E9" s="4">
        <v>8.5657545762711819E-3</v>
      </c>
      <c r="F9" s="4">
        <v>7.4972920000000096E-2</v>
      </c>
      <c r="G9" s="4">
        <v>3.6020000000025402E-5</v>
      </c>
      <c r="H9" s="4">
        <f t="shared" si="1"/>
        <v>0.33965504851005573</v>
      </c>
      <c r="I9" s="4">
        <f t="shared" si="2"/>
        <v>0.33965504851005573</v>
      </c>
      <c r="J9" s="4">
        <v>1.3423248431986921E-2</v>
      </c>
      <c r="K9" s="4">
        <v>4.1317580392156694</v>
      </c>
      <c r="L9" s="4">
        <v>0.38636945</v>
      </c>
      <c r="M9" s="4">
        <v>0.38636945</v>
      </c>
      <c r="N9" s="4">
        <v>0.38636945</v>
      </c>
      <c r="O9" s="4" t="e">
        <v>#DIV/0!</v>
      </c>
      <c r="P9" s="4">
        <v>2.0309999999999402</v>
      </c>
      <c r="Q9" s="4">
        <v>60</v>
      </c>
      <c r="R9" s="5">
        <v>0.8666666666666667</v>
      </c>
    </row>
    <row r="10" spans="1:18" x14ac:dyDescent="0.2">
      <c r="B10" s="2">
        <v>0.4</v>
      </c>
      <c r="C10" s="3">
        <v>0.98333333333333328</v>
      </c>
      <c r="D10" s="11">
        <f t="shared" si="0"/>
        <v>0.86585577966101623</v>
      </c>
      <c r="E10" s="4">
        <v>8.6585577966101623E-3</v>
      </c>
      <c r="F10" s="4">
        <v>7.1604029999999999E-2</v>
      </c>
      <c r="G10" s="4">
        <v>2.37919999999999E-4</v>
      </c>
      <c r="H10" s="4">
        <f t="shared" si="1"/>
        <v>0.32926340159273176</v>
      </c>
      <c r="I10" s="4">
        <f t="shared" si="2"/>
        <v>0.32926340159273176</v>
      </c>
      <c r="J10" s="4">
        <v>1.3012568070247499E-2</v>
      </c>
      <c r="K10" s="4">
        <v>3.5845599999999802</v>
      </c>
      <c r="L10" s="4">
        <v>0.51149087999999998</v>
      </c>
      <c r="M10" s="4">
        <v>0.51149087999999998</v>
      </c>
      <c r="N10" s="4">
        <v>0.51149087999999998</v>
      </c>
      <c r="O10" s="4" t="e">
        <v>#DIV/0!</v>
      </c>
      <c r="P10" s="4">
        <v>1.17299999999977</v>
      </c>
      <c r="Q10" s="4">
        <v>60</v>
      </c>
      <c r="R10" s="5">
        <v>0.85</v>
      </c>
    </row>
    <row r="11" spans="1:18" x14ac:dyDescent="0.2">
      <c r="B11" s="2">
        <v>0.5</v>
      </c>
      <c r="C11" s="3">
        <v>0.98333333333333328</v>
      </c>
      <c r="D11" s="11">
        <f t="shared" si="0"/>
        <v>0.4030932881355932</v>
      </c>
      <c r="E11" s="4">
        <v>4.0309328813559319E-3</v>
      </c>
      <c r="F11" s="4">
        <v>7.5509749999999903E-2</v>
      </c>
      <c r="G11" s="4">
        <v>0</v>
      </c>
      <c r="H11" s="4">
        <f t="shared" si="1"/>
        <v>0.35963478718662067</v>
      </c>
      <c r="I11" s="4">
        <f t="shared" si="2"/>
        <v>0.35963478718662067</v>
      </c>
      <c r="J11" s="4">
        <v>1.4212852464190106E-2</v>
      </c>
      <c r="K11" s="4">
        <v>2.4799929411764761</v>
      </c>
      <c r="L11" s="4">
        <v>0.122729359999999</v>
      </c>
      <c r="M11" s="4">
        <v>0.122729359999999</v>
      </c>
      <c r="N11" s="4">
        <v>0.122729359999999</v>
      </c>
      <c r="O11" s="4" t="e">
        <v>#DIV/0!</v>
      </c>
      <c r="P11" s="4">
        <v>1.0189999999999999</v>
      </c>
      <c r="Q11" s="4">
        <v>60</v>
      </c>
      <c r="R11" s="5">
        <v>0.58333333333333337</v>
      </c>
    </row>
    <row r="12" spans="1:18" x14ac:dyDescent="0.2">
      <c r="B12" s="2">
        <v>0.75</v>
      </c>
      <c r="C12" s="3">
        <v>1</v>
      </c>
      <c r="D12" s="11">
        <f t="shared" si="0"/>
        <v>0.42443653333333459</v>
      </c>
      <c r="E12" s="4">
        <v>4.2443653333333461E-3</v>
      </c>
      <c r="F12" s="4">
        <v>7.2143390000000293E-2</v>
      </c>
      <c r="G12" s="4">
        <v>0</v>
      </c>
      <c r="H12" s="4">
        <f t="shared" si="1"/>
        <v>0.34671140041459975</v>
      </c>
      <c r="I12" s="4">
        <f t="shared" si="2"/>
        <v>0.34671140041459975</v>
      </c>
      <c r="J12" s="4">
        <v>1.3702117140265266E-2</v>
      </c>
      <c r="K12" s="4">
        <v>0.54599999999993498</v>
      </c>
      <c r="L12" s="4" t="e">
        <v>#DIV/0!</v>
      </c>
      <c r="M12" s="4">
        <v>0</v>
      </c>
      <c r="N12" s="4">
        <v>0</v>
      </c>
      <c r="O12" s="4" t="e">
        <v>#DIV/0!</v>
      </c>
      <c r="P12" s="4"/>
      <c r="Q12" s="4">
        <v>60</v>
      </c>
      <c r="R12" s="5">
        <v>1.6666666666666666E-2</v>
      </c>
    </row>
    <row r="13" spans="1:18" x14ac:dyDescent="0.2">
      <c r="B13" s="2">
        <v>1</v>
      </c>
      <c r="C13" s="3" t="e">
        <v>#DIV/0!</v>
      </c>
      <c r="D13" s="11" t="e">
        <f t="shared" si="0"/>
        <v>#DIV/0!</v>
      </c>
      <c r="E13" s="4" t="e">
        <v>#DIV/0!</v>
      </c>
      <c r="F13" s="4">
        <v>0</v>
      </c>
      <c r="G13" s="4">
        <v>0</v>
      </c>
      <c r="H13" s="4" t="e">
        <f>J13/2</f>
        <v>#DIV/0!</v>
      </c>
      <c r="I13" s="4"/>
      <c r="J13" s="4" t="e">
        <v>#DIV/0!</v>
      </c>
      <c r="K13" s="4" t="e">
        <v>#DIV/0!</v>
      </c>
      <c r="L13" s="4" t="e">
        <v>#DIV/0!</v>
      </c>
      <c r="M13" s="4">
        <v>0</v>
      </c>
      <c r="N13" s="4">
        <v>0</v>
      </c>
      <c r="O13" s="4" t="e">
        <v>#DIV/0!</v>
      </c>
      <c r="P13" s="4" t="e">
        <v>#DIV/0!</v>
      </c>
      <c r="Q13" s="4">
        <v>0</v>
      </c>
      <c r="R13" s="5" t="e">
        <v>#VALUE!</v>
      </c>
    </row>
    <row r="15" spans="1:18" x14ac:dyDescent="0.2">
      <c r="A15" t="s">
        <v>15</v>
      </c>
      <c r="B15" s="1" t="s">
        <v>1</v>
      </c>
      <c r="C15" s="2" t="s">
        <v>2</v>
      </c>
      <c r="D15" s="2"/>
      <c r="E15" s="2" t="s">
        <v>3</v>
      </c>
      <c r="F15" s="2" t="s">
        <v>4</v>
      </c>
      <c r="G15" s="2" t="s">
        <v>5</v>
      </c>
      <c r="H15" s="2" t="s">
        <v>20</v>
      </c>
      <c r="I15" s="2" t="s">
        <v>21</v>
      </c>
      <c r="J15" s="2" t="s">
        <v>6</v>
      </c>
      <c r="K15" s="2" t="s">
        <v>7</v>
      </c>
      <c r="L15" s="2" t="s">
        <v>8</v>
      </c>
      <c r="M15" s="2" t="s">
        <v>9</v>
      </c>
      <c r="N15" s="2" t="s">
        <v>10</v>
      </c>
      <c r="O15" s="2" t="s">
        <v>11</v>
      </c>
      <c r="P15" s="2" t="s">
        <v>12</v>
      </c>
      <c r="Q15" s="2" t="s">
        <v>13</v>
      </c>
      <c r="R15" s="2" t="s">
        <v>14</v>
      </c>
    </row>
    <row r="16" spans="1:18" x14ac:dyDescent="0.2">
      <c r="B16" s="2">
        <v>0</v>
      </c>
      <c r="C16" s="3">
        <v>0.8666666666666667</v>
      </c>
      <c r="D16" s="11">
        <f>E16*100</f>
        <v>1.6229844423076905</v>
      </c>
      <c r="E16" s="4">
        <f>[8]Feuil1!$U$2</f>
        <v>1.6229844423076904E-2</v>
      </c>
      <c r="F16" s="4">
        <f>[8]Feuil1!$U$4</f>
        <v>7.4070539999999893E-2</v>
      </c>
      <c r="G16" s="4">
        <f>[8]Feuil1!$U$6</f>
        <v>4.7416000000000098E-4</v>
      </c>
      <c r="H16" s="4">
        <f xml:space="preserve"> 1.96 * (J16*100)/SQRT(Q16)</f>
        <v>0.51207155076329436</v>
      </c>
      <c r="I16" s="4">
        <f>1.96 * (J16*100)/SQRT(Q16)</f>
        <v>0.51207155076329436</v>
      </c>
      <c r="J16" s="4">
        <f>[8]Feuil1!$U$8</f>
        <v>2.0237189675233112E-2</v>
      </c>
      <c r="K16" s="4">
        <f>[8]Feuil1!$Y$2</f>
        <v>5.5025045769230729</v>
      </c>
      <c r="L16" s="4">
        <f>[8]Feuil1!$W$2</f>
        <v>0.30986761499999965</v>
      </c>
      <c r="M16" s="4">
        <f>[8]Feuil1!$W$4</f>
        <v>0.73434935999999995</v>
      </c>
      <c r="N16" s="4">
        <f>[8]Feuil1!$W$6</f>
        <v>0.11423460000000001</v>
      </c>
      <c r="O16" s="4">
        <f>[8]Feuil1!$W$8</f>
        <v>0.2099554019243382</v>
      </c>
      <c r="P16" s="4">
        <f>[8]Feuil1!$AA$2</f>
        <v>2.7794857142857103</v>
      </c>
      <c r="Q16" s="4">
        <f>SUM([9]Feuil1!$S$2:$S$3)</f>
        <v>60</v>
      </c>
      <c r="R16" s="5">
        <v>0.98333333333333328</v>
      </c>
    </row>
    <row r="17" spans="1:18" x14ac:dyDescent="0.2">
      <c r="B17" s="2">
        <v>0.05</v>
      </c>
      <c r="C17" s="3">
        <v>0.8666666666666667</v>
      </c>
      <c r="D17" s="11">
        <f t="shared" ref="D17:D27" si="3">E17*100</f>
        <v>1.3964737307692316</v>
      </c>
      <c r="E17" s="4">
        <f>[10]Feuil1!$U$2</f>
        <v>1.3964737307692317E-2</v>
      </c>
      <c r="F17" s="4">
        <f>[10]Feuil1!$U$4</f>
        <v>6.79158599999998E-2</v>
      </c>
      <c r="G17" s="4">
        <f>[10]Feuil1!$U$6</f>
        <v>3.48970000000559E-4</v>
      </c>
      <c r="H17" s="4">
        <f t="shared" ref="H17:H26" si="4" xml:space="preserve"> 1.96 * (J17*100)/SQRT(Q17)</f>
        <v>0.4584539308552541</v>
      </c>
      <c r="I17" s="4">
        <f t="shared" ref="I17:I26" si="5">1.96 * (J17*100)/SQRT(Q17)</f>
        <v>0.4584539308552541</v>
      </c>
      <c r="J17" s="4">
        <f>[10]Feuil1!$U$8</f>
        <v>1.8118208563323735E-2</v>
      </c>
      <c r="K17" s="4">
        <f>[10]Feuil1!$Y$2</f>
        <v>5.2523788461538725</v>
      </c>
      <c r="L17" s="4">
        <f>[10]Feuil1!$W$2</f>
        <v>0.33554886999999944</v>
      </c>
      <c r="M17" s="4">
        <f>[10]Feuil1!$W$4</f>
        <v>0.73453587999999903</v>
      </c>
      <c r="N17" s="4">
        <f>[10]Feuil1!$W$6</f>
        <v>0.11597056</v>
      </c>
      <c r="O17" s="4">
        <f>[10]Feuil1!$W$8</f>
        <v>0.24847590490464261</v>
      </c>
      <c r="P17" s="4">
        <f>[10]Feuil1!$AA$2</f>
        <v>2.7754714285713482</v>
      </c>
      <c r="Q17" s="4">
        <f>SUM([10]Feuil1!$S$2:$S$3)</f>
        <v>60</v>
      </c>
      <c r="R17" s="5">
        <v>0.98333333333333328</v>
      </c>
    </row>
    <row r="18" spans="1:18" x14ac:dyDescent="0.2">
      <c r="B18" s="2">
        <v>0.1</v>
      </c>
      <c r="C18" s="3">
        <v>0.8833333333333333</v>
      </c>
      <c r="D18" s="11">
        <f t="shared" si="3"/>
        <v>1.4426264528301858</v>
      </c>
      <c r="E18" s="4">
        <f>[11]Feuil1!$U$2</f>
        <v>1.4426264528301858E-2</v>
      </c>
      <c r="F18" s="4">
        <f>[11]Feuil1!$U$4</f>
        <v>6.9590819999999998E-2</v>
      </c>
      <c r="G18" s="4">
        <f>[11]Feuil1!$U$6</f>
        <v>2.89360000000016E-4</v>
      </c>
      <c r="H18" s="4">
        <f t="shared" si="4"/>
        <v>0.46013009638107333</v>
      </c>
      <c r="I18" s="4">
        <f t="shared" si="5"/>
        <v>0.46013009638107333</v>
      </c>
      <c r="J18" s="4">
        <f>[11]Feuil1!$U$8</f>
        <v>1.8184451024211335E-2</v>
      </c>
      <c r="K18" s="4">
        <f>[11]Feuil1!$Y$2</f>
        <v>5.6566463461538294</v>
      </c>
      <c r="L18" s="4">
        <f>[11]Feuil1!$W$2</f>
        <v>0.34389288714285698</v>
      </c>
      <c r="M18" s="4">
        <f>[11]Feuil1!$W$4</f>
        <v>0.75906110999999998</v>
      </c>
      <c r="N18" s="4">
        <f>[11]Feuil1!$W$6</f>
        <v>0.11674904999999999</v>
      </c>
      <c r="O18" s="4">
        <f>[11]Feuil1!$W$8</f>
        <v>0.2801983114988742</v>
      </c>
      <c r="P18" s="4">
        <f>[11]Feuil1!$AA$2</f>
        <v>2.7243333333333304</v>
      </c>
      <c r="Q18" s="4">
        <f>SUM([11]Feuil1!$S$2:$S$3)</f>
        <v>60</v>
      </c>
      <c r="R18" s="5">
        <v>0.96666666666666667</v>
      </c>
    </row>
    <row r="19" spans="1:18" x14ac:dyDescent="0.2">
      <c r="B19" s="2">
        <v>0.15</v>
      </c>
      <c r="C19" s="3">
        <v>0.8666666666666667</v>
      </c>
      <c r="D19" s="11">
        <f t="shared" si="3"/>
        <v>1.4657094615384629</v>
      </c>
      <c r="E19" s="4">
        <f>[12]Feuil1!$U$2</f>
        <v>1.4657094615384629E-2</v>
      </c>
      <c r="F19" s="4">
        <f>[12]Feuil1!$U$4</f>
        <v>9.4080629999999804E-2</v>
      </c>
      <c r="G19" s="4">
        <f>[12]Feuil1!$U$6</f>
        <v>3.5099999999843502E-5</v>
      </c>
      <c r="H19" s="4">
        <f t="shared" si="4"/>
        <v>0.50095256800704568</v>
      </c>
      <c r="I19" s="4">
        <f t="shared" si="5"/>
        <v>0.50095256800704568</v>
      </c>
      <c r="J19" s="4">
        <f>[12]Feuil1!$U$8</f>
        <v>1.9797764827868637E-2</v>
      </c>
      <c r="K19" s="4">
        <f>[12]Feuil1!$Y$2</f>
        <v>5.6068431372549368</v>
      </c>
      <c r="L19" s="4">
        <f>[12]Feuil1!$W$2</f>
        <v>0.32384577374999962</v>
      </c>
      <c r="M19" s="4">
        <f>[12]Feuil1!$W$4</f>
        <v>0.737177269999999</v>
      </c>
      <c r="N19" s="4">
        <f>[12]Feuil1!$W$6</f>
        <v>0.11849008</v>
      </c>
      <c r="O19" s="4">
        <f>[12]Feuil1!$W$8</f>
        <v>0.25173839252401037</v>
      </c>
      <c r="P19" s="4">
        <f>[12]Feuil1!$AA$2</f>
        <v>2.6281666666666266</v>
      </c>
      <c r="Q19" s="4">
        <f>SUM([12]Feuil1!$S$2:$S$3)</f>
        <v>60</v>
      </c>
      <c r="R19" s="5">
        <v>0.95</v>
      </c>
    </row>
    <row r="20" spans="1:18" x14ac:dyDescent="0.2">
      <c r="B20" s="2">
        <v>0.2</v>
      </c>
      <c r="C20" s="3">
        <v>0.8666666666666667</v>
      </c>
      <c r="D20" s="11">
        <f t="shared" si="3"/>
        <v>1.3558929600000023</v>
      </c>
      <c r="E20" s="4">
        <f>[13]Feuil1!$U$2</f>
        <v>1.3558929600000023E-2</v>
      </c>
      <c r="F20" s="4">
        <f>[13]Feuil1!$U$4</f>
        <v>6.5651319999999902E-2</v>
      </c>
      <c r="G20" s="4">
        <f>[13]Feuil1!$U$6</f>
        <v>7.4249999999942404E-5</v>
      </c>
      <c r="H20" s="4">
        <f t="shared" si="4"/>
        <v>0.34800788725300902</v>
      </c>
      <c r="I20" s="4">
        <f t="shared" si="5"/>
        <v>0.34800788725300902</v>
      </c>
      <c r="J20" s="4">
        <f>[13]Feuil1!$U$8</f>
        <v>1.3867492288932517E-2</v>
      </c>
      <c r="K20" s="4">
        <f>[13]Feuil1!$Y$2</f>
        <v>6.3362126530612501</v>
      </c>
      <c r="L20" s="4">
        <f>[13]Feuil1!$W$2</f>
        <v>0.39488622699999987</v>
      </c>
      <c r="M20" s="4">
        <f>[13]Feuil1!$W$4</f>
        <v>0.83523968000000004</v>
      </c>
      <c r="N20" s="4">
        <f>[13]Feuil1!$W$6</f>
        <v>0.11190632</v>
      </c>
      <c r="O20" s="4">
        <f>[13]Feuil1!$W$8</f>
        <v>0.27979467789297996</v>
      </c>
      <c r="P20" s="4">
        <f>[13]Feuil1!$AA$2</f>
        <v>3.5028571428570068</v>
      </c>
      <c r="Q20" s="4">
        <f>SUM([13]Feuil1!$S$2:$S$3)</f>
        <v>61</v>
      </c>
      <c r="R20" s="5">
        <v>0.95</v>
      </c>
    </row>
    <row r="21" spans="1:18" x14ac:dyDescent="0.2">
      <c r="B21" s="2">
        <v>0.25</v>
      </c>
      <c r="C21" s="3">
        <v>0.8666666666666667</v>
      </c>
      <c r="D21" s="11">
        <f t="shared" si="3"/>
        <v>1.468383269230767</v>
      </c>
      <c r="E21" s="4">
        <f>[14]Feuil1!$U$2</f>
        <v>1.468383269230767E-2</v>
      </c>
      <c r="F21" s="4">
        <f>[14]Feuil1!$U$4</f>
        <v>8.1180619999999995E-2</v>
      </c>
      <c r="G21" s="4">
        <f>[14]Feuil1!$U$6</f>
        <v>1.34490000000209E-4</v>
      </c>
      <c r="H21" s="4">
        <f t="shared" si="4"/>
        <v>0.4727881249328616</v>
      </c>
      <c r="I21" s="4">
        <f t="shared" si="5"/>
        <v>0.4727881249328616</v>
      </c>
      <c r="J21" s="4">
        <f>[14]Feuil1!$U$8</f>
        <v>1.8684699328057192E-2</v>
      </c>
      <c r="K21" s="4">
        <f>[14]Feuil1!$Y$2</f>
        <v>5.4186799999999797</v>
      </c>
      <c r="L21" s="4">
        <f>[14]Feuil1!$W$2</f>
        <v>0.35955697749999982</v>
      </c>
      <c r="M21" s="4">
        <f>[14]Feuil1!$W$4</f>
        <v>0.73489347999999999</v>
      </c>
      <c r="N21" s="4">
        <f>[14]Feuil1!$W$6</f>
        <v>0.11869144</v>
      </c>
      <c r="O21" s="4">
        <f>[14]Feuil1!$W$8</f>
        <v>0.25090794973926822</v>
      </c>
      <c r="P21" s="4">
        <f>[14]Feuil1!$AA$2</f>
        <v>1.971166666666776</v>
      </c>
      <c r="Q21" s="4">
        <f>SUM([14]Feuil1!$S$2:$S$3)</f>
        <v>60</v>
      </c>
      <c r="R21" s="5">
        <v>0.93333333333333335</v>
      </c>
    </row>
    <row r="22" spans="1:18" x14ac:dyDescent="0.2">
      <c r="B22" s="2">
        <v>0.3</v>
      </c>
      <c r="C22" s="3">
        <v>0.81666666666666665</v>
      </c>
      <c r="D22" s="11">
        <f t="shared" si="3"/>
        <v>1.439551469387754</v>
      </c>
      <c r="E22" s="4">
        <f>[15]Feuil1!$U$2</f>
        <v>1.439551469387754E-2</v>
      </c>
      <c r="F22" s="4">
        <f>[15]Feuil1!$U$4</f>
        <v>6.8744429999999898E-2</v>
      </c>
      <c r="G22" s="4">
        <f>[15]Feuil1!$U$6</f>
        <v>4.7380999999999899E-4</v>
      </c>
      <c r="H22" s="4">
        <f t="shared" si="4"/>
        <v>0.44623838310144059</v>
      </c>
      <c r="I22" s="4">
        <f t="shared" si="5"/>
        <v>0.44623838310144059</v>
      </c>
      <c r="J22" s="4">
        <f>[15]Feuil1!$U$8</f>
        <v>1.7635447206024536E-2</v>
      </c>
      <c r="K22" s="4">
        <f>[15]Feuil1!$Y$2</f>
        <v>5.0550947916665905</v>
      </c>
      <c r="L22" s="4">
        <f>[15]Feuil1!$W$2</f>
        <v>0.36515619363636315</v>
      </c>
      <c r="M22" s="4">
        <f>[15]Feuil1!$W$4</f>
        <v>0.86740980999999895</v>
      </c>
      <c r="N22" s="4">
        <f>[15]Feuil1!$W$6</f>
        <v>0.10705152</v>
      </c>
      <c r="O22" s="4">
        <f>[15]Feuil1!$W$8</f>
        <v>0.25221176882721846</v>
      </c>
      <c r="P22" s="4">
        <f>[15]Feuil1!$AA$2</f>
        <v>1.5026000000000541</v>
      </c>
      <c r="Q22" s="4">
        <f>SUM([15]Feuil1!$S$2:$S$3)</f>
        <v>60</v>
      </c>
      <c r="R22" s="5">
        <v>0.93333333333333335</v>
      </c>
    </row>
    <row r="23" spans="1:18" x14ac:dyDescent="0.2">
      <c r="B23" s="2">
        <v>0.35</v>
      </c>
      <c r="C23" s="3">
        <v>0.8</v>
      </c>
      <c r="D23" s="11">
        <f t="shared" si="3"/>
        <v>1.9843652916666665</v>
      </c>
      <c r="E23" s="4">
        <f>[16]Feuil1!$U$2</f>
        <v>1.9843652916666666E-2</v>
      </c>
      <c r="F23" s="4">
        <f>[16]Feuil1!$U$4</f>
        <v>9.5319550000000003E-2</v>
      </c>
      <c r="G23" s="4">
        <f>[16]Feuil1!$U$6</f>
        <v>3.0572000000003702E-4</v>
      </c>
      <c r="H23" s="4">
        <f t="shared" si="4"/>
        <v>0.59102783074280973</v>
      </c>
      <c r="I23" s="4">
        <f t="shared" si="5"/>
        <v>0.59102783074280973</v>
      </c>
      <c r="J23" s="4">
        <f>[16]Feuil1!$U$8</f>
        <v>2.3357560669510183E-2</v>
      </c>
      <c r="K23" s="4">
        <f>[16]Feuil1!$Y$2</f>
        <v>4.5416326086955667</v>
      </c>
      <c r="L23" s="4">
        <f>[16]Feuil1!$W$2</f>
        <v>0.31680758666666653</v>
      </c>
      <c r="M23" s="4">
        <f>[16]Feuil1!$W$4</f>
        <v>0.67593360000000002</v>
      </c>
      <c r="N23" s="4">
        <f>[16]Feuil1!$W$6</f>
        <v>0.104742479999999</v>
      </c>
      <c r="O23" s="4">
        <f>[16]Feuil1!$W$8</f>
        <v>0.19243542382034734</v>
      </c>
      <c r="P23" s="4">
        <f>[16]Feuil1!$AA$2</f>
        <v>1.9500000000000126</v>
      </c>
      <c r="Q23" s="4">
        <f>SUM([16]Feuil1!$S$2:$S$3)</f>
        <v>60</v>
      </c>
      <c r="R23" s="5">
        <v>0.9</v>
      </c>
    </row>
    <row r="24" spans="1:18" x14ac:dyDescent="0.2">
      <c r="B24" s="2">
        <v>0.4</v>
      </c>
      <c r="C24" s="3">
        <v>0.76666666666666672</v>
      </c>
      <c r="D24" s="11">
        <f t="shared" si="3"/>
        <v>2.1775529782608696</v>
      </c>
      <c r="E24" s="4">
        <f>[17]Feuil1!$U$2</f>
        <v>2.1775529782608695E-2</v>
      </c>
      <c r="F24" s="4">
        <f>[17]Feuil1!$U$4</f>
        <v>9.2606910000000001E-2</v>
      </c>
      <c r="G24" s="4">
        <f>[17]Feuil1!$U$6</f>
        <v>1.56009999999984E-4</v>
      </c>
      <c r="H24" s="4">
        <f t="shared" si="4"/>
        <v>0.61723901490198974</v>
      </c>
      <c r="I24" s="4">
        <f t="shared" si="5"/>
        <v>0.61723901490198974</v>
      </c>
      <c r="J24" s="4">
        <f>[17]Feuil1!$U$8</f>
        <v>2.4393432911682431E-2</v>
      </c>
      <c r="K24" s="4">
        <f>[17]Feuil1!$Y$2</f>
        <v>4.2077272727272552</v>
      </c>
      <c r="L24" s="4">
        <f>[17]Feuil1!$W$2</f>
        <v>0.31268518428571396</v>
      </c>
      <c r="M24" s="4">
        <f>[17]Feuil1!$W$4</f>
        <v>0.63724051999999998</v>
      </c>
      <c r="N24" s="4">
        <f>[17]Feuil1!$W$6</f>
        <v>0.11069229999999899</v>
      </c>
      <c r="O24" s="4">
        <f>[17]Feuil1!$W$8</f>
        <v>0.18474204643181358</v>
      </c>
      <c r="P24" s="4">
        <f>[17]Feuil1!$AA$2</f>
        <v>1.7092999999999818</v>
      </c>
      <c r="Q24" s="4">
        <f>SUM([17]Feuil1!$S$2:$S$3)</f>
        <v>60</v>
      </c>
      <c r="R24" s="5">
        <v>0.9</v>
      </c>
    </row>
    <row r="25" spans="1:18" x14ac:dyDescent="0.2">
      <c r="B25" s="2">
        <v>0.5</v>
      </c>
      <c r="C25" s="3">
        <v>0.56666666666666665</v>
      </c>
      <c r="D25" s="11">
        <f t="shared" si="3"/>
        <v>2.7828173823529379</v>
      </c>
      <c r="E25" s="4">
        <f>[18]Feuil1!$U$2</f>
        <v>2.7828173823529378E-2</v>
      </c>
      <c r="F25" s="4">
        <f>[18]Feuil1!$U$4</f>
        <v>9.2079229999999901E-2</v>
      </c>
      <c r="G25" s="4">
        <f>[18]Feuil1!$U$6</f>
        <v>0</v>
      </c>
      <c r="H25" s="4">
        <f t="shared" si="4"/>
        <v>0.76792137356108148</v>
      </c>
      <c r="I25" s="4">
        <f t="shared" si="5"/>
        <v>0.76792137356108148</v>
      </c>
      <c r="J25" s="4">
        <f>[18]Feuil1!$U$8</f>
        <v>3.0348435622436661E-2</v>
      </c>
      <c r="K25" s="4">
        <f>[18]Feuil1!$Y$2</f>
        <v>3.9082092307692169</v>
      </c>
      <c r="L25" s="4">
        <f>[18]Feuil1!$W$2</f>
        <v>0.35316854846153806</v>
      </c>
      <c r="M25" s="4">
        <f>[18]Feuil1!$W$4</f>
        <v>0.81407076</v>
      </c>
      <c r="N25" s="4">
        <f>[18]Feuil1!$W$6</f>
        <v>0.117541599999999</v>
      </c>
      <c r="O25" s="4">
        <f>[18]Feuil1!$W$8</f>
        <v>0.19966604686999942</v>
      </c>
      <c r="P25" s="4">
        <f>[18]Feuil1!$AA$2</f>
        <v>1.1248300000000002</v>
      </c>
      <c r="Q25" s="4">
        <f>SUM([18]Feuil1!$S$2:$S$3)</f>
        <v>60</v>
      </c>
      <c r="R25" s="5">
        <v>0.6</v>
      </c>
    </row>
    <row r="26" spans="1:18" x14ac:dyDescent="0.2">
      <c r="B26" s="2">
        <v>0.75</v>
      </c>
      <c r="C26" s="3">
        <v>0.28333333333333333</v>
      </c>
      <c r="D26" s="11">
        <f t="shared" si="3"/>
        <v>4.0933915294117611</v>
      </c>
      <c r="E26" s="4">
        <f>[19]Feuil1!$U$2</f>
        <v>4.0933915294117613E-2</v>
      </c>
      <c r="F26" s="4">
        <f>[19]Feuil1!$U$4</f>
        <v>9.2784809999999995E-2</v>
      </c>
      <c r="G26" s="4">
        <f>[19]Feuil1!$U$6</f>
        <v>5.0931999999999002E-3</v>
      </c>
      <c r="H26" s="4">
        <f t="shared" si="4"/>
        <v>0.76361568597338658</v>
      </c>
      <c r="I26" s="4">
        <f t="shared" si="5"/>
        <v>0.76361568597338658</v>
      </c>
      <c r="J26" s="4">
        <f>[19]Feuil1!$U$8</f>
        <v>3.0178273823241623E-2</v>
      </c>
      <c r="K26" s="4">
        <f>[19]Feuil1!$Y$2</f>
        <v>2.573499999999965</v>
      </c>
      <c r="L26" s="4">
        <f>[19]Feuil1!$W$2</f>
        <v>0.49141149348837165</v>
      </c>
      <c r="M26" s="4">
        <f>[19]Feuil1!$W$4</f>
        <v>1.37071157999999</v>
      </c>
      <c r="N26" s="4">
        <f>[19]Feuil1!$W$6</f>
        <v>0.11733992</v>
      </c>
      <c r="O26" s="4">
        <f>[19]Feuil1!$W$8</f>
        <v>0.31023227764613642</v>
      </c>
      <c r="P26" s="4">
        <f>[19]Feuil1!$AA$2</f>
        <v>1.022850000000004</v>
      </c>
      <c r="Q26" s="4">
        <f>SUM([19]Feuil1!$S$2:$S$3)</f>
        <v>60</v>
      </c>
      <c r="R26" s="5">
        <v>6.6666666666666666E-2</v>
      </c>
    </row>
    <row r="27" spans="1:18" x14ac:dyDescent="0.2">
      <c r="B27" s="2">
        <v>1</v>
      </c>
      <c r="C27" s="3" t="e">
        <v>#DIV/0!</v>
      </c>
      <c r="D27" s="11" t="e">
        <f t="shared" si="3"/>
        <v>#DIV/0!</v>
      </c>
      <c r="E27" s="4" t="e">
        <f>[20]Feuil1!$U$2</f>
        <v>#DIV/0!</v>
      </c>
      <c r="F27" s="4">
        <f>[20]Feuil1!$U$4</f>
        <v>0</v>
      </c>
      <c r="G27" s="4">
        <f>[20]Feuil1!$U$6</f>
        <v>0</v>
      </c>
      <c r="H27" s="4"/>
      <c r="I27" s="4"/>
      <c r="J27" s="4" t="e">
        <f>[20]Feuil1!$U$8</f>
        <v>#DIV/0!</v>
      </c>
      <c r="K27" s="4" t="e">
        <f>[20]Feuil1!$Y$2</f>
        <v>#DIV/0!</v>
      </c>
      <c r="L27" s="4" t="e">
        <f>[20]Feuil1!$W$2</f>
        <v>#DIV/0!</v>
      </c>
      <c r="M27" s="4">
        <f>[20]Feuil1!$W$4</f>
        <v>0</v>
      </c>
      <c r="N27" s="4">
        <f>[20]Feuil1!$W$6</f>
        <v>0</v>
      </c>
      <c r="O27" s="4" t="e">
        <f>[20]Feuil1!$W$8</f>
        <v>#DIV/0!</v>
      </c>
      <c r="P27" s="4" t="e">
        <f>[20]Feuil1!$AA$2</f>
        <v>#DIV/0!</v>
      </c>
      <c r="Q27" s="4">
        <f>SUM([20]Feuil1!$S$2:$S$3)</f>
        <v>0</v>
      </c>
      <c r="R27" s="5" t="e">
        <v>#VALUE!</v>
      </c>
    </row>
    <row r="29" spans="1:18" x14ac:dyDescent="0.2">
      <c r="A29" t="s">
        <v>16</v>
      </c>
      <c r="B29" s="6" t="s">
        <v>1</v>
      </c>
      <c r="C29" s="2" t="s">
        <v>2</v>
      </c>
      <c r="D29" s="2"/>
      <c r="E29" s="2" t="s">
        <v>3</v>
      </c>
      <c r="F29" s="2" t="s">
        <v>4</v>
      </c>
      <c r="G29" s="2" t="s">
        <v>5</v>
      </c>
      <c r="H29" s="2" t="s">
        <v>20</v>
      </c>
      <c r="I29" s="2" t="s">
        <v>21</v>
      </c>
      <c r="J29" s="2" t="s">
        <v>6</v>
      </c>
      <c r="K29" s="2" t="s">
        <v>7</v>
      </c>
      <c r="L29" s="2" t="s">
        <v>8</v>
      </c>
      <c r="M29" s="2" t="s">
        <v>9</v>
      </c>
      <c r="N29" s="2" t="s">
        <v>10</v>
      </c>
      <c r="O29" s="2" t="s">
        <v>11</v>
      </c>
      <c r="P29" s="2" t="s">
        <v>12</v>
      </c>
      <c r="Q29" s="2" t="s">
        <v>13</v>
      </c>
      <c r="R29" s="2" t="s">
        <v>14</v>
      </c>
    </row>
    <row r="30" spans="1:18" x14ac:dyDescent="0.2">
      <c r="B30" s="2">
        <v>0</v>
      </c>
      <c r="C30" s="3">
        <v>0.72</v>
      </c>
      <c r="D30" s="11">
        <f>E30*100</f>
        <v>2.1604057209302328</v>
      </c>
      <c r="E30" s="4">
        <v>2.1604057209302328E-2</v>
      </c>
      <c r="F30" s="4">
        <v>9.4593239999999898E-2</v>
      </c>
      <c r="G30" s="4">
        <v>1.0748999999998701E-4</v>
      </c>
      <c r="H30" s="4">
        <f xml:space="preserve"> 1.96 * (J30*100)/SQRT(Q30)</f>
        <v>0.61435225230467028</v>
      </c>
      <c r="I30" s="4">
        <f>1.96 * (J30*100)/SQRT(Q30)</f>
        <v>0.61435225230467028</v>
      </c>
      <c r="J30" s="4">
        <v>2.4279347366132704E-2</v>
      </c>
      <c r="K30" s="4">
        <v>6.8859429268292525</v>
      </c>
      <c r="L30" s="4">
        <v>0.32666545352941145</v>
      </c>
      <c r="M30" s="4">
        <v>0.90489719999999996</v>
      </c>
      <c r="N30" s="4">
        <v>0.10866368999999999</v>
      </c>
      <c r="O30" s="4">
        <v>0.24589923452737872</v>
      </c>
      <c r="P30" s="4">
        <v>4.0570458823529307</v>
      </c>
      <c r="Q30" s="4">
        <v>60</v>
      </c>
      <c r="R30" s="5">
        <v>0.96666666666666667</v>
      </c>
    </row>
    <row r="31" spans="1:18" x14ac:dyDescent="0.2">
      <c r="B31" s="2">
        <v>0.05</v>
      </c>
      <c r="C31" s="3">
        <v>0.77</v>
      </c>
      <c r="D31" s="11">
        <f t="shared" ref="D31:D41" si="6">E31*100</f>
        <v>2.275114391304347</v>
      </c>
      <c r="E31" s="4">
        <v>2.2751143913043472E-2</v>
      </c>
      <c r="F31" s="4">
        <v>8.7825749999999994E-2</v>
      </c>
      <c r="G31" s="4">
        <v>2.5423999999984998E-4</v>
      </c>
      <c r="H31" s="4">
        <f t="shared" ref="H31:H40" si="7" xml:space="preserve"> 1.96 * (J31*100)/SQRT(Q31)</f>
        <v>0.62845337396856271</v>
      </c>
      <c r="I31" s="4">
        <f t="shared" ref="I31:I40" si="8">1.96 * (J31*100)/SQRT(Q31)</f>
        <v>0.62845337396856271</v>
      </c>
      <c r="J31" s="4">
        <v>2.483662705355209E-2</v>
      </c>
      <c r="K31" s="4">
        <v>6.2376772727272733</v>
      </c>
      <c r="L31" s="4">
        <v>0.35820699428571412</v>
      </c>
      <c r="M31" s="4">
        <v>0.90440474999999998</v>
      </c>
      <c r="N31" s="4">
        <v>0.10762788</v>
      </c>
      <c r="O31" s="4">
        <v>0.25715081677838142</v>
      </c>
      <c r="P31" s="4">
        <v>4.5900846153846642</v>
      </c>
      <c r="Q31" s="4">
        <v>60</v>
      </c>
      <c r="R31" s="5">
        <v>0.95</v>
      </c>
    </row>
    <row r="32" spans="1:18" x14ac:dyDescent="0.2">
      <c r="B32" s="2">
        <v>0.1</v>
      </c>
      <c r="C32" s="3">
        <v>0.8</v>
      </c>
      <c r="D32" s="11">
        <f t="shared" si="6"/>
        <v>2.3755551458333333</v>
      </c>
      <c r="E32" s="4">
        <v>2.3755551458333333E-2</v>
      </c>
      <c r="F32" s="4">
        <v>8.3384150000000101E-2</v>
      </c>
      <c r="G32" s="4">
        <v>8.0432000000007998E-4</v>
      </c>
      <c r="H32" s="4">
        <f t="shared" si="7"/>
        <v>0.63168384576449133</v>
      </c>
      <c r="I32" s="4">
        <f t="shared" si="8"/>
        <v>0.63168384576449133</v>
      </c>
      <c r="J32" s="4">
        <v>2.4964296068511527E-2</v>
      </c>
      <c r="K32" s="4">
        <v>6.4990822222221833</v>
      </c>
      <c r="L32" s="4">
        <v>0.3767738116666664</v>
      </c>
      <c r="M32" s="4">
        <v>0.88639630999999997</v>
      </c>
      <c r="N32" s="4">
        <v>0.10718743999999999</v>
      </c>
      <c r="O32" s="4">
        <v>0.26479737949410348</v>
      </c>
      <c r="P32" s="4">
        <v>4.6002166666666602</v>
      </c>
      <c r="Q32" s="4">
        <v>60</v>
      </c>
      <c r="R32" s="5">
        <v>0.95</v>
      </c>
    </row>
    <row r="33" spans="1:18" x14ac:dyDescent="0.2">
      <c r="B33" s="2">
        <v>0.15</v>
      </c>
      <c r="C33" s="3">
        <v>0.83</v>
      </c>
      <c r="D33" s="11">
        <f t="shared" si="6"/>
        <v>2.4145322399999967</v>
      </c>
      <c r="E33" s="4">
        <v>2.4145322399999967E-2</v>
      </c>
      <c r="F33" s="4">
        <v>9.4952069999999902E-2</v>
      </c>
      <c r="G33" s="4">
        <v>3.82639999999989E-4</v>
      </c>
      <c r="H33" s="4">
        <f t="shared" si="7"/>
        <v>0.64001797339307509</v>
      </c>
      <c r="I33" s="4">
        <f t="shared" si="8"/>
        <v>0.64001797339307509</v>
      </c>
      <c r="J33" s="4">
        <v>2.5293662777804097E-2</v>
      </c>
      <c r="K33" s="4">
        <v>6.0831489361702191</v>
      </c>
      <c r="L33" s="4">
        <v>0.4083687929999994</v>
      </c>
      <c r="M33" s="4">
        <v>0.88841793999999896</v>
      </c>
      <c r="N33" s="4">
        <v>0.10763917000000001</v>
      </c>
      <c r="O33" s="4">
        <v>0.2631143984206058</v>
      </c>
      <c r="P33" s="4">
        <v>4.5408999999998434</v>
      </c>
      <c r="Q33" s="4">
        <v>60</v>
      </c>
      <c r="R33" s="5">
        <v>0.95</v>
      </c>
    </row>
    <row r="34" spans="1:18" x14ac:dyDescent="0.2">
      <c r="B34" s="2">
        <v>0.2</v>
      </c>
      <c r="C34" s="3">
        <v>0.83</v>
      </c>
      <c r="D34" s="11">
        <f t="shared" si="6"/>
        <v>2.4050610199999967</v>
      </c>
      <c r="E34" s="4">
        <v>2.4050610199999968E-2</v>
      </c>
      <c r="F34" s="4">
        <v>9.6638350000000206E-2</v>
      </c>
      <c r="G34" s="4">
        <v>1.62854999999995E-3</v>
      </c>
      <c r="H34" s="4">
        <f t="shared" si="7"/>
        <v>0.61513804022060736</v>
      </c>
      <c r="I34" s="4">
        <f t="shared" si="8"/>
        <v>0.61513804022060736</v>
      </c>
      <c r="J34" s="4">
        <v>2.4310401891766129E-2</v>
      </c>
      <c r="K34" s="4">
        <v>5.8304893617020772</v>
      </c>
      <c r="L34" s="4">
        <v>0.37834416399999971</v>
      </c>
      <c r="M34" s="4">
        <v>0.88333114999999895</v>
      </c>
      <c r="N34" s="4">
        <v>0.10767957</v>
      </c>
      <c r="O34" s="4">
        <v>0.23583189518326164</v>
      </c>
      <c r="P34" s="4">
        <v>4.3831999999998938</v>
      </c>
      <c r="Q34" s="4">
        <v>60</v>
      </c>
      <c r="R34" s="5">
        <v>0.95</v>
      </c>
    </row>
    <row r="35" spans="1:18" x14ac:dyDescent="0.2">
      <c r="B35" s="2">
        <v>0.25</v>
      </c>
      <c r="C35" s="3">
        <v>0.82</v>
      </c>
      <c r="D35" s="11">
        <f t="shared" si="6"/>
        <v>2.1229984081632622</v>
      </c>
      <c r="E35" s="4">
        <v>2.1229984081632625E-2</v>
      </c>
      <c r="F35" s="4">
        <v>8.6917439999999901E-2</v>
      </c>
      <c r="G35" s="4">
        <v>3.90079999999987E-4</v>
      </c>
      <c r="H35" s="4">
        <f t="shared" si="7"/>
        <v>0.53355796650824305</v>
      </c>
      <c r="I35" s="4">
        <f t="shared" si="8"/>
        <v>0.53355796650824305</v>
      </c>
      <c r="J35" s="4">
        <v>2.1086337944109385E-2</v>
      </c>
      <c r="K35" s="4">
        <v>9.6793863636363042</v>
      </c>
      <c r="L35" s="4">
        <v>0.40782384090909046</v>
      </c>
      <c r="M35" s="4">
        <v>0.89270015999999996</v>
      </c>
      <c r="N35" s="4">
        <v>0.10837929</v>
      </c>
      <c r="O35" s="4">
        <v>0.25784734882064725</v>
      </c>
      <c r="P35" s="4">
        <v>4.1700000000001136</v>
      </c>
      <c r="Q35" s="4">
        <v>60</v>
      </c>
      <c r="R35" s="5">
        <v>0.9</v>
      </c>
    </row>
    <row r="36" spans="1:18" x14ac:dyDescent="0.2">
      <c r="B36" s="2">
        <v>0.3</v>
      </c>
      <c r="C36" s="3">
        <v>0.82</v>
      </c>
      <c r="D36" s="11">
        <f t="shared" si="6"/>
        <v>2.5245185918367326</v>
      </c>
      <c r="E36" s="4">
        <v>2.5245185918367326E-2</v>
      </c>
      <c r="F36" s="4">
        <v>9.47183999999998E-2</v>
      </c>
      <c r="G36" s="4">
        <v>2.4806999999993303E-4</v>
      </c>
      <c r="H36" s="4">
        <f t="shared" si="7"/>
        <v>0.64435874081417122</v>
      </c>
      <c r="I36" s="4">
        <f t="shared" si="8"/>
        <v>0.64435874081417122</v>
      </c>
      <c r="J36" s="4">
        <v>2.5465210940372109E-2</v>
      </c>
      <c r="K36" s="4">
        <v>5.4424434090908882</v>
      </c>
      <c r="L36" s="4">
        <v>0.42584106909090896</v>
      </c>
      <c r="M36" s="4">
        <v>0.896786799999999</v>
      </c>
      <c r="N36" s="4">
        <v>0.10767957</v>
      </c>
      <c r="O36" s="4">
        <v>0.2719599411531764</v>
      </c>
      <c r="P36" s="4">
        <v>2.6015000000001658</v>
      </c>
      <c r="Q36" s="4">
        <v>60</v>
      </c>
      <c r="R36" s="5">
        <v>0.9</v>
      </c>
    </row>
    <row r="37" spans="1:18" x14ac:dyDescent="0.2">
      <c r="B37" s="2">
        <v>0.35</v>
      </c>
      <c r="C37" s="3">
        <v>0.72</v>
      </c>
      <c r="D37" s="11">
        <f t="shared" si="6"/>
        <v>2.4338689069767443</v>
      </c>
      <c r="E37" s="4">
        <v>2.4338689069767442E-2</v>
      </c>
      <c r="F37" s="4">
        <v>8.4620799999999899E-2</v>
      </c>
      <c r="G37" s="4">
        <v>1.02476999999989E-3</v>
      </c>
      <c r="H37" s="4">
        <f t="shared" si="7"/>
        <v>0.56535445377525961</v>
      </c>
      <c r="I37" s="4">
        <f t="shared" si="8"/>
        <v>0.56535445377525961</v>
      </c>
      <c r="J37" s="4">
        <v>2.2342942695671136E-2</v>
      </c>
      <c r="K37" s="4">
        <v>5.1176864864865168</v>
      </c>
      <c r="L37" s="4">
        <v>0.3560883935294113</v>
      </c>
      <c r="M37" s="4">
        <v>0.94616604000000004</v>
      </c>
      <c r="N37" s="4">
        <v>0.10635453</v>
      </c>
      <c r="O37" s="4">
        <v>0.24823552137585531</v>
      </c>
      <c r="P37" s="4">
        <v>2.2322666666666624</v>
      </c>
      <c r="Q37" s="4">
        <v>60</v>
      </c>
      <c r="R37" s="5">
        <v>0.8666666666666667</v>
      </c>
    </row>
    <row r="38" spans="1:18" x14ac:dyDescent="0.2">
      <c r="B38" s="2">
        <v>0.4</v>
      </c>
      <c r="C38" s="3">
        <v>0.62</v>
      </c>
      <c r="D38" s="11">
        <f t="shared" si="6"/>
        <v>2.0844605405405412</v>
      </c>
      <c r="E38" s="4">
        <v>2.0844605405405413E-2</v>
      </c>
      <c r="F38" s="4">
        <v>8.2053680000000004E-2</v>
      </c>
      <c r="G38" s="4">
        <v>3.57730000000056E-4</v>
      </c>
      <c r="H38" s="4">
        <f t="shared" si="7"/>
        <v>0.57969732075656411</v>
      </c>
      <c r="I38" s="4">
        <f t="shared" si="8"/>
        <v>0.57969732075656411</v>
      </c>
      <c r="J38" s="4">
        <v>2.2909776215624813E-2</v>
      </c>
      <c r="K38" s="4">
        <v>4.2018125000000417</v>
      </c>
      <c r="L38" s="4">
        <v>0.32454913999999951</v>
      </c>
      <c r="M38" s="4">
        <v>0.93283134999999995</v>
      </c>
      <c r="N38" s="4">
        <v>0.10307143000000001</v>
      </c>
      <c r="O38" s="4">
        <v>0.24870580072069617</v>
      </c>
      <c r="P38" s="4">
        <v>1.7096875000000553</v>
      </c>
      <c r="Q38" s="4">
        <v>60</v>
      </c>
      <c r="R38" s="5">
        <v>0.8</v>
      </c>
    </row>
    <row r="39" spans="1:18" x14ac:dyDescent="0.2">
      <c r="B39" s="2">
        <v>0.5</v>
      </c>
      <c r="C39" s="3">
        <v>0.47</v>
      </c>
      <c r="D39" s="11">
        <f t="shared" si="6"/>
        <v>3.1293230714285705</v>
      </c>
      <c r="E39" s="4">
        <v>3.1293230714285705E-2</v>
      </c>
      <c r="F39" s="4">
        <v>9.5020629999999995E-2</v>
      </c>
      <c r="G39" s="4">
        <v>0</v>
      </c>
      <c r="H39" s="4">
        <f t="shared" si="7"/>
        <v>0.7852117114677496</v>
      </c>
      <c r="I39" s="4">
        <f t="shared" si="8"/>
        <v>0.7852117114677496</v>
      </c>
      <c r="J39" s="4">
        <v>3.1031753895526711E-2</v>
      </c>
      <c r="K39" s="4">
        <v>3.3545724999999962</v>
      </c>
      <c r="L39" s="4">
        <v>0.39455248031249918</v>
      </c>
      <c r="M39" s="4">
        <v>1.2823850399999901</v>
      </c>
      <c r="N39" s="4">
        <v>0.10361972999999899</v>
      </c>
      <c r="O39" s="4">
        <v>0.33749910411191686</v>
      </c>
      <c r="P39" s="4">
        <v>1.9451328571428526</v>
      </c>
      <c r="Q39" s="4">
        <v>60</v>
      </c>
      <c r="R39" s="5">
        <v>0.56666666666666665</v>
      </c>
    </row>
    <row r="40" spans="1:18" x14ac:dyDescent="0.2">
      <c r="B40" s="2">
        <v>0.75</v>
      </c>
      <c r="C40" s="3">
        <v>0.15</v>
      </c>
      <c r="D40" s="11">
        <f t="shared" si="6"/>
        <v>4.49688911111111</v>
      </c>
      <c r="E40" s="4">
        <v>4.4968891111111103E-2</v>
      </c>
      <c r="F40" s="4">
        <v>9.5530109999999904E-2</v>
      </c>
      <c r="G40" s="4">
        <v>5.1373400000000397E-3</v>
      </c>
      <c r="H40" s="4">
        <f t="shared" si="7"/>
        <v>0.86448447303123876</v>
      </c>
      <c r="I40" s="4">
        <f t="shared" si="8"/>
        <v>0.86448447303123876</v>
      </c>
      <c r="J40" s="4">
        <v>3.4164632317396762E-2</v>
      </c>
      <c r="K40" s="4"/>
      <c r="L40" s="4">
        <v>0.49781510490195996</v>
      </c>
      <c r="M40" s="4">
        <v>1.50122215999999</v>
      </c>
      <c r="N40" s="4">
        <v>0.11496185</v>
      </c>
      <c r="O40" s="4">
        <v>0.36061742064909852</v>
      </c>
      <c r="P40" s="4">
        <v>1.1452500000000296</v>
      </c>
      <c r="Q40" s="4">
        <v>60</v>
      </c>
      <c r="R40" s="5">
        <v>6.6666666666666666E-2</v>
      </c>
    </row>
    <row r="41" spans="1:18" x14ac:dyDescent="0.2">
      <c r="B41" s="2">
        <v>1</v>
      </c>
      <c r="C41" s="3" t="e">
        <v>#DIV/0!</v>
      </c>
      <c r="D41" s="11" t="e">
        <f t="shared" si="6"/>
        <v>#DIV/0!</v>
      </c>
      <c r="E41" s="4" t="e">
        <v>#DIV/0!</v>
      </c>
      <c r="F41" s="4">
        <v>0</v>
      </c>
      <c r="G41" s="4">
        <v>0</v>
      </c>
      <c r="H41" s="4"/>
      <c r="I41" s="4"/>
      <c r="J41" s="4" t="e">
        <v>#DIV/0!</v>
      </c>
      <c r="K41" s="4" t="e">
        <v>#DIV/0!</v>
      </c>
      <c r="L41" s="4" t="e">
        <v>#DIV/0!</v>
      </c>
      <c r="M41" s="4">
        <v>0</v>
      </c>
      <c r="N41" s="4">
        <v>0</v>
      </c>
      <c r="O41" s="4" t="e">
        <v>#DIV/0!</v>
      </c>
      <c r="P41" s="4" t="e">
        <v>#DIV/0!</v>
      </c>
      <c r="Q41" s="4">
        <v>0</v>
      </c>
      <c r="R41" s="9" t="e">
        <v>#VALUE!</v>
      </c>
    </row>
    <row r="43" spans="1:18" x14ac:dyDescent="0.2">
      <c r="A43" t="s">
        <v>17</v>
      </c>
      <c r="B43" s="1" t="s">
        <v>1</v>
      </c>
      <c r="C43" s="2" t="s">
        <v>2</v>
      </c>
      <c r="D43" s="2"/>
      <c r="E43" s="2" t="s">
        <v>3</v>
      </c>
      <c r="F43" s="2" t="s">
        <v>4</v>
      </c>
      <c r="G43" s="2" t="s">
        <v>5</v>
      </c>
      <c r="H43" s="2" t="s">
        <v>20</v>
      </c>
      <c r="I43" s="2" t="s">
        <v>21</v>
      </c>
      <c r="J43" s="2" t="s">
        <v>6</v>
      </c>
      <c r="K43" s="2" t="s">
        <v>7</v>
      </c>
      <c r="L43" s="2" t="s">
        <v>8</v>
      </c>
      <c r="M43" s="2" t="s">
        <v>9</v>
      </c>
      <c r="N43" s="2" t="s">
        <v>10</v>
      </c>
      <c r="O43" s="2" t="s">
        <v>11</v>
      </c>
      <c r="P43" s="2" t="s">
        <v>12</v>
      </c>
      <c r="Q43" s="2" t="s">
        <v>13</v>
      </c>
      <c r="R43" s="2" t="s">
        <v>14</v>
      </c>
    </row>
    <row r="44" spans="1:18" x14ac:dyDescent="0.2">
      <c r="B44" s="2">
        <v>0</v>
      </c>
      <c r="C44" s="3">
        <v>0.6333333333333333</v>
      </c>
      <c r="D44" s="11">
        <f>E44*100</f>
        <v>1.2897391785714318</v>
      </c>
      <c r="E44" s="4">
        <v>1.2897391785714318E-2</v>
      </c>
      <c r="F44" s="4">
        <v>6.5020499999999995E-2</v>
      </c>
      <c r="G44" s="4">
        <v>4.1642999999999899E-4</v>
      </c>
      <c r="H44" s="4">
        <f xml:space="preserve"> 1.96 * (J44*100)/SQRT(Q44)</f>
        <v>0.40435343349588876</v>
      </c>
      <c r="I44" s="4">
        <f>1.96 * (J44*100)/SQRT(Q44)</f>
        <v>0.40435343349588876</v>
      </c>
      <c r="J44" s="4">
        <v>1.598014401950373E-2</v>
      </c>
      <c r="K44" s="4">
        <v>6.3869185714285637</v>
      </c>
      <c r="L44" s="4">
        <v>0.42674632545454466</v>
      </c>
      <c r="M44" s="4">
        <v>2.00967943999999</v>
      </c>
      <c r="N44" s="4">
        <v>0.10585785</v>
      </c>
      <c r="O44" s="4">
        <v>0.43666410821667773</v>
      </c>
      <c r="P44" s="4">
        <v>3.5627852380952385</v>
      </c>
      <c r="Q44" s="4">
        <v>60</v>
      </c>
      <c r="R44" s="5">
        <v>0.98333333333333328</v>
      </c>
    </row>
    <row r="45" spans="1:18" x14ac:dyDescent="0.2">
      <c r="B45" s="2">
        <v>0.05</v>
      </c>
      <c r="C45" s="3">
        <v>0.6166666666666667</v>
      </c>
      <c r="D45" s="11">
        <f t="shared" ref="D45:D55" si="9">E45*100</f>
        <v>1.3777177567567549</v>
      </c>
      <c r="E45" s="4">
        <v>1.3777177567567548E-2</v>
      </c>
      <c r="F45" s="4">
        <v>6.7259509999999995E-2</v>
      </c>
      <c r="G45" s="4">
        <v>2.6986999999999899E-4</v>
      </c>
      <c r="H45" s="4">
        <f t="shared" ref="H45:H54" si="10" xml:space="preserve"> 1.96 * (J45*100)/SQRT(Q45)</f>
        <v>0.45503238404447621</v>
      </c>
      <c r="I45" s="4">
        <f t="shared" ref="I45:I54" si="11">1.96 * (J45*100)/SQRT(Q45)</f>
        <v>0.45503238404447621</v>
      </c>
      <c r="J45" s="4">
        <v>1.7982988218258306E-2</v>
      </c>
      <c r="K45" s="4">
        <v>6.3588837837837557</v>
      </c>
      <c r="L45" s="4">
        <v>0.41540140956521676</v>
      </c>
      <c r="M45" s="4">
        <v>2.0449271299999898</v>
      </c>
      <c r="N45" s="4">
        <v>0.105940039999999</v>
      </c>
      <c r="O45" s="4">
        <v>0.44437108697589661</v>
      </c>
      <c r="P45" s="4">
        <v>3.5698272727272449</v>
      </c>
      <c r="Q45" s="4">
        <v>60</v>
      </c>
      <c r="R45" s="5">
        <v>0.98333333333333328</v>
      </c>
    </row>
    <row r="46" spans="1:18" x14ac:dyDescent="0.2">
      <c r="B46" s="2">
        <v>0.1</v>
      </c>
      <c r="C46" s="3">
        <v>0.66666666666666663</v>
      </c>
      <c r="D46" s="11">
        <f t="shared" si="9"/>
        <v>1.8564877499999972</v>
      </c>
      <c r="E46" s="4">
        <v>1.8564877499999972E-2</v>
      </c>
      <c r="F46" s="4">
        <v>9.5954479999999398E-2</v>
      </c>
      <c r="G46" s="4">
        <v>2.0962999999999901E-4</v>
      </c>
      <c r="H46" s="4">
        <f t="shared" si="10"/>
        <v>0.6488086154131163</v>
      </c>
      <c r="I46" s="4">
        <f t="shared" si="11"/>
        <v>0.6488086154131163</v>
      </c>
      <c r="J46" s="4">
        <v>2.5641071044600942E-2</v>
      </c>
      <c r="K46" s="4">
        <v>6.2870923076923129</v>
      </c>
      <c r="L46" s="4">
        <v>0.43030904199999859</v>
      </c>
      <c r="M46" s="4">
        <v>2.11595840999999</v>
      </c>
      <c r="N46" s="4">
        <v>0.117668209999999</v>
      </c>
      <c r="O46" s="4">
        <v>0.47990906266580041</v>
      </c>
      <c r="P46" s="4">
        <v>4.0017947368420899</v>
      </c>
      <c r="Q46" s="4">
        <v>60</v>
      </c>
      <c r="R46" s="5">
        <v>0.96666666666666667</v>
      </c>
    </row>
    <row r="47" spans="1:18" x14ac:dyDescent="0.2">
      <c r="B47" s="2">
        <v>0.15</v>
      </c>
      <c r="C47" s="3">
        <v>0.6333333333333333</v>
      </c>
      <c r="D47" s="11">
        <f t="shared" si="9"/>
        <v>2.0910953947368438</v>
      </c>
      <c r="E47" s="4">
        <v>2.091095394736844E-2</v>
      </c>
      <c r="F47" s="4">
        <v>8.4053869999999697E-2</v>
      </c>
      <c r="G47" s="4">
        <v>9.8209999999987406E-5</v>
      </c>
      <c r="H47" s="4">
        <f t="shared" si="10"/>
        <v>0.65588011290857606</v>
      </c>
      <c r="I47" s="4">
        <f t="shared" si="11"/>
        <v>0.65588011290857606</v>
      </c>
      <c r="J47" s="4">
        <v>2.5920538310240361E-2</v>
      </c>
      <c r="K47" s="4">
        <v>9.4658648648649031</v>
      </c>
      <c r="L47" s="4">
        <v>0.42721897363636285</v>
      </c>
      <c r="M47" s="4">
        <v>2.1059698099999902</v>
      </c>
      <c r="N47" s="4">
        <v>0.10141425</v>
      </c>
      <c r="O47" s="4">
        <v>0.45914197045139227</v>
      </c>
      <c r="P47" s="4">
        <v>3.6477619047620058</v>
      </c>
      <c r="Q47" s="4">
        <v>60</v>
      </c>
      <c r="R47" s="5">
        <v>0.96666666666666667</v>
      </c>
    </row>
    <row r="48" spans="1:18" x14ac:dyDescent="0.2">
      <c r="B48" s="2">
        <v>0.2</v>
      </c>
      <c r="C48" s="3">
        <v>0.6333333333333333</v>
      </c>
      <c r="D48" s="11">
        <f t="shared" si="9"/>
        <v>1.9517213421052604</v>
      </c>
      <c r="E48" s="4">
        <v>1.9517213421052605E-2</v>
      </c>
      <c r="F48" s="4">
        <v>8.1923510000000005E-2</v>
      </c>
      <c r="G48" s="4">
        <v>2.2034999999999901E-4</v>
      </c>
      <c r="H48" s="4">
        <f t="shared" si="10"/>
        <v>0.61236717192642476</v>
      </c>
      <c r="I48" s="4">
        <f t="shared" si="11"/>
        <v>0.61236717192642476</v>
      </c>
      <c r="J48" s="4">
        <v>2.4200896516685486E-2</v>
      </c>
      <c r="K48" s="4">
        <v>5.8805945945945997</v>
      </c>
      <c r="L48" s="4">
        <v>0.41586588590909002</v>
      </c>
      <c r="M48" s="4">
        <v>2.1527693699999899</v>
      </c>
      <c r="N48" s="4">
        <v>0.104566799999999</v>
      </c>
      <c r="O48" s="4">
        <v>0.4594398123077344</v>
      </c>
      <c r="P48" s="4">
        <v>3.4753684210526918</v>
      </c>
      <c r="Q48" s="4">
        <v>60</v>
      </c>
      <c r="R48" s="5">
        <v>0.93333333333333335</v>
      </c>
    </row>
    <row r="49" spans="1:18" x14ac:dyDescent="0.2">
      <c r="B49" s="2">
        <v>0.25</v>
      </c>
      <c r="C49" s="3">
        <v>0.65</v>
      </c>
      <c r="D49" s="11">
        <f t="shared" si="9"/>
        <v>2.0801031794871747</v>
      </c>
      <c r="E49" s="4">
        <v>2.0801031794871749E-2</v>
      </c>
      <c r="F49" s="4">
        <v>9.55868E-2</v>
      </c>
      <c r="G49" s="4">
        <v>1.62949999999999E-4</v>
      </c>
      <c r="H49" s="4">
        <f t="shared" si="10"/>
        <v>0.66786785981936425</v>
      </c>
      <c r="I49" s="4">
        <f t="shared" si="11"/>
        <v>0.66786785981936425</v>
      </c>
      <c r="J49" s="4">
        <v>2.6394296923954976E-2</v>
      </c>
      <c r="K49" s="4">
        <v>5.4379736842105411</v>
      </c>
      <c r="L49" s="4">
        <v>0.42748301333333188</v>
      </c>
      <c r="M49" s="4">
        <v>1.9777658499999899</v>
      </c>
      <c r="N49" s="4">
        <v>0.117679319999999</v>
      </c>
      <c r="O49" s="4">
        <v>0.44201014498966473</v>
      </c>
      <c r="P49" s="4">
        <v>2.9521176470588548</v>
      </c>
      <c r="Q49" s="4">
        <v>60</v>
      </c>
      <c r="R49" s="5">
        <v>0.91666666666666663</v>
      </c>
    </row>
    <row r="50" spans="1:18" x14ac:dyDescent="0.2">
      <c r="B50" s="2">
        <v>0.3</v>
      </c>
      <c r="C50" s="3">
        <v>0.6166666666666667</v>
      </c>
      <c r="D50" s="11">
        <f t="shared" si="9"/>
        <v>1.848541945945948</v>
      </c>
      <c r="E50" s="4">
        <v>1.848541945945948E-2</v>
      </c>
      <c r="F50" s="4">
        <v>8.4394739999999996E-2</v>
      </c>
      <c r="G50" s="4">
        <v>1.2554999999999901E-4</v>
      </c>
      <c r="H50" s="4">
        <f t="shared" si="10"/>
        <v>0.59599931695415931</v>
      </c>
      <c r="I50" s="4">
        <f t="shared" si="11"/>
        <v>0.59599931695415931</v>
      </c>
      <c r="J50" s="4">
        <v>2.3554034988923007E-2</v>
      </c>
      <c r="K50" s="4">
        <v>4.9183272972973109</v>
      </c>
      <c r="L50" s="4">
        <v>0.4107205582608684</v>
      </c>
      <c r="M50" s="4">
        <v>1.7579735699999901</v>
      </c>
      <c r="N50" s="4">
        <v>0.1023372</v>
      </c>
      <c r="O50" s="4">
        <v>0.40870269291895317</v>
      </c>
      <c r="P50" s="4">
        <v>2.9142111111111975</v>
      </c>
      <c r="Q50" s="4">
        <v>60</v>
      </c>
      <c r="R50" s="5">
        <v>0.91666666666666663</v>
      </c>
    </row>
    <row r="51" spans="1:18" x14ac:dyDescent="0.2">
      <c r="B51" s="2">
        <v>0.35</v>
      </c>
      <c r="C51" s="3">
        <v>0.6</v>
      </c>
      <c r="D51" s="11">
        <f t="shared" si="9"/>
        <v>2.3451587777777743</v>
      </c>
      <c r="E51" s="4">
        <v>2.3451587777777741E-2</v>
      </c>
      <c r="F51" s="4">
        <v>9.9773489999999895E-2</v>
      </c>
      <c r="G51" s="4">
        <v>5.83499999999999E-5</v>
      </c>
      <c r="H51" s="4">
        <f t="shared" si="10"/>
        <v>0.68954687784465596</v>
      </c>
      <c r="I51" s="4">
        <f t="shared" si="11"/>
        <v>0.68954687784465596</v>
      </c>
      <c r="J51" s="4">
        <v>2.7251056880833398E-2</v>
      </c>
      <c r="K51" s="4">
        <v>4.6325285714286411</v>
      </c>
      <c r="L51" s="4">
        <v>0.33735801791666548</v>
      </c>
      <c r="M51" s="4">
        <v>1.79463900999999</v>
      </c>
      <c r="N51" s="4">
        <v>0.10412631</v>
      </c>
      <c r="O51" s="4">
        <v>0.4055608935808942</v>
      </c>
      <c r="P51" s="4">
        <v>2.4920529411763677</v>
      </c>
      <c r="Q51" s="4">
        <v>60</v>
      </c>
      <c r="R51" s="5">
        <v>0.8666666666666667</v>
      </c>
    </row>
    <row r="52" spans="1:18" x14ac:dyDescent="0.2">
      <c r="B52" s="2">
        <v>0.4</v>
      </c>
      <c r="C52" s="3">
        <v>0.56666666666666665</v>
      </c>
      <c r="D52" s="11">
        <f t="shared" si="9"/>
        <v>3.1685302058823508</v>
      </c>
      <c r="E52" s="4">
        <v>3.1685302058823507E-2</v>
      </c>
      <c r="F52" s="4">
        <v>9.5690239999999996E-2</v>
      </c>
      <c r="G52" s="4">
        <v>2.77699999999998E-5</v>
      </c>
      <c r="H52" s="4">
        <f t="shared" si="10"/>
        <v>0.78130454047562148</v>
      </c>
      <c r="I52" s="4">
        <f t="shared" si="11"/>
        <v>0.78130454047562148</v>
      </c>
      <c r="J52" s="4">
        <v>3.0877341567125724E-2</v>
      </c>
      <c r="K52" s="4">
        <v>4.1575937500000002</v>
      </c>
      <c r="L52" s="4">
        <v>0.38920316153846063</v>
      </c>
      <c r="M52" s="4">
        <v>1.75749167999999</v>
      </c>
      <c r="N52" s="4">
        <v>0.11430206</v>
      </c>
      <c r="O52" s="4">
        <v>0.38270283810509576</v>
      </c>
      <c r="P52" s="4">
        <v>1.7041176470586872</v>
      </c>
      <c r="Q52" s="4">
        <v>60</v>
      </c>
      <c r="R52" s="5">
        <v>0.81666666666666665</v>
      </c>
    </row>
    <row r="53" spans="1:18" x14ac:dyDescent="0.2">
      <c r="B53" s="2">
        <v>0.5</v>
      </c>
      <c r="C53" s="3">
        <v>0.36666666666666664</v>
      </c>
      <c r="D53" s="11">
        <f t="shared" si="9"/>
        <v>2.5169706363636317</v>
      </c>
      <c r="E53" s="4">
        <v>2.5169706363636316E-2</v>
      </c>
      <c r="F53" s="4">
        <v>9.29907499999999E-2</v>
      </c>
      <c r="G53" s="4">
        <v>8.8479999999987999E-5</v>
      </c>
      <c r="H53" s="4">
        <f t="shared" si="10"/>
        <v>0.68261611175342241</v>
      </c>
      <c r="I53" s="4">
        <f t="shared" si="11"/>
        <v>0.68261611175342241</v>
      </c>
      <c r="J53" s="4">
        <v>2.6977151353814965E-2</v>
      </c>
      <c r="K53" s="4">
        <v>4.1326368421052679</v>
      </c>
      <c r="L53" s="4">
        <v>0.42448133210526268</v>
      </c>
      <c r="M53" s="4">
        <v>1.7873404499999901</v>
      </c>
      <c r="N53" s="4">
        <v>0.10495105</v>
      </c>
      <c r="O53" s="4">
        <v>0.36406305224175628</v>
      </c>
      <c r="P53" s="4">
        <v>1.4225266666666649</v>
      </c>
      <c r="Q53" s="4">
        <v>60</v>
      </c>
      <c r="R53" s="5">
        <v>0.56666666666666665</v>
      </c>
    </row>
    <row r="54" spans="1:18" x14ac:dyDescent="0.2">
      <c r="B54" s="2">
        <v>0.75</v>
      </c>
      <c r="C54" s="3">
        <v>0.16666666666666666</v>
      </c>
      <c r="D54" s="11">
        <f t="shared" si="9"/>
        <v>5.3906760999999959</v>
      </c>
      <c r="E54" s="4">
        <v>5.3906760999999956E-2</v>
      </c>
      <c r="F54" s="4">
        <v>9.6392169999999902E-2</v>
      </c>
      <c r="G54" s="4">
        <v>4.2419200000000101E-3</v>
      </c>
      <c r="H54" s="4">
        <f t="shared" si="10"/>
        <v>0.82154451549512975</v>
      </c>
      <c r="I54" s="4">
        <f t="shared" si="11"/>
        <v>0.82154451549512975</v>
      </c>
      <c r="J54" s="4">
        <v>3.2467634966129373E-2</v>
      </c>
      <c r="K54" s="4">
        <v>1.1194999999998951</v>
      </c>
      <c r="L54" s="4">
        <v>0.55982194459999934</v>
      </c>
      <c r="M54" s="4">
        <v>2.2920629699999999</v>
      </c>
      <c r="N54" s="4">
        <v>0.112616509999999</v>
      </c>
      <c r="O54" s="4">
        <v>0.41542919829827712</v>
      </c>
      <c r="P54" s="4"/>
      <c r="Q54" s="4">
        <v>60</v>
      </c>
      <c r="R54" s="5">
        <v>3.3333333333333333E-2</v>
      </c>
    </row>
    <row r="55" spans="1:18" x14ac:dyDescent="0.2">
      <c r="B55" s="2">
        <v>1</v>
      </c>
      <c r="C55" s="3" t="e">
        <v>#DIV/0!</v>
      </c>
      <c r="D55" s="11" t="e">
        <f t="shared" si="9"/>
        <v>#DIV/0!</v>
      </c>
      <c r="E55" s="4" t="e">
        <v>#DIV/0!</v>
      </c>
      <c r="F55" s="4">
        <v>0</v>
      </c>
      <c r="G55" s="4">
        <v>0</v>
      </c>
      <c r="H55" s="4"/>
      <c r="I55" s="4"/>
      <c r="J55" s="4" t="e">
        <v>#DIV/0!</v>
      </c>
      <c r="K55" s="4" t="e">
        <v>#DIV/0!</v>
      </c>
      <c r="L55" s="4" t="e">
        <v>#DIV/0!</v>
      </c>
      <c r="M55" s="4">
        <v>0</v>
      </c>
      <c r="N55" s="4">
        <v>0</v>
      </c>
      <c r="O55" s="4" t="e">
        <v>#DIV/0!</v>
      </c>
      <c r="P55" s="4" t="e">
        <v>#DIV/0!</v>
      </c>
      <c r="Q55" s="4">
        <v>0</v>
      </c>
      <c r="R55" s="5" t="e">
        <v>#VALUE!</v>
      </c>
    </row>
    <row r="57" spans="1:18" x14ac:dyDescent="0.2">
      <c r="A57" t="s">
        <v>18</v>
      </c>
      <c r="B57" s="6" t="s">
        <v>1</v>
      </c>
      <c r="C57" s="2" t="s">
        <v>2</v>
      </c>
      <c r="D57" s="2"/>
      <c r="E57" s="2" t="s">
        <v>3</v>
      </c>
      <c r="F57" s="2" t="s">
        <v>4</v>
      </c>
      <c r="G57" s="2" t="s">
        <v>5</v>
      </c>
      <c r="H57" s="2" t="s">
        <v>20</v>
      </c>
      <c r="I57" s="2" t="s">
        <v>21</v>
      </c>
      <c r="J57" s="2" t="s">
        <v>6</v>
      </c>
      <c r="K57" s="2" t="s">
        <v>7</v>
      </c>
      <c r="L57" s="2" t="s">
        <v>8</v>
      </c>
      <c r="M57" s="2" t="s">
        <v>9</v>
      </c>
      <c r="N57" s="2" t="s">
        <v>10</v>
      </c>
      <c r="O57" s="2" t="s">
        <v>11</v>
      </c>
      <c r="P57" s="2" t="s">
        <v>12</v>
      </c>
      <c r="Q57" s="2" t="s">
        <v>13</v>
      </c>
      <c r="R57" s="2" t="s">
        <v>14</v>
      </c>
    </row>
    <row r="58" spans="1:18" x14ac:dyDescent="0.2">
      <c r="B58" s="2">
        <v>0</v>
      </c>
      <c r="C58" s="3">
        <v>0.63</v>
      </c>
      <c r="D58" s="11">
        <f>E58*100</f>
        <v>1.5812638000000001</v>
      </c>
      <c r="E58" s="4">
        <v>1.5812638E-2</v>
      </c>
      <c r="F58" s="4">
        <v>9.3804150000000003E-2</v>
      </c>
      <c r="G58" s="4">
        <v>1.5421E-4</v>
      </c>
      <c r="H58" s="4">
        <f xml:space="preserve"> 1.96 * (J58*100)/SQRT(Q58)</f>
        <v>0.54685905171113336</v>
      </c>
      <c r="I58" s="4">
        <f>1.96 * (J58*100)/SQRT(Q58)</f>
        <v>0.54685905171113336</v>
      </c>
      <c r="J58" s="4">
        <v>2.1611999999999999E-2</v>
      </c>
      <c r="K58" s="4">
        <v>5.6424473700000002</v>
      </c>
      <c r="L58" s="4">
        <v>0.54300504999999999</v>
      </c>
      <c r="M58" s="4">
        <v>1.6776208100000001</v>
      </c>
      <c r="N58" s="4">
        <v>0.1055136</v>
      </c>
      <c r="O58" s="4">
        <v>0.44187098899999999</v>
      </c>
      <c r="P58" s="4">
        <v>4.0728666670000004</v>
      </c>
      <c r="Q58" s="4">
        <v>60</v>
      </c>
      <c r="R58" s="9">
        <v>0.98299999999999998</v>
      </c>
    </row>
    <row r="59" spans="1:18" x14ac:dyDescent="0.2">
      <c r="B59" s="2">
        <v>0.05</v>
      </c>
      <c r="C59" s="3">
        <v>0.63</v>
      </c>
      <c r="D59" s="11">
        <f t="shared" ref="D59:D69" si="12">E59*100</f>
        <v>1.4069204</v>
      </c>
      <c r="E59" s="4">
        <v>1.4069204E-2</v>
      </c>
      <c r="F59" s="4">
        <v>7.7220150000000001E-2</v>
      </c>
      <c r="G59" s="4">
        <v>1.6637999999999999E-4</v>
      </c>
      <c r="H59" s="4">
        <f t="shared" ref="H59:H68" si="13" xml:space="preserve"> 1.96 * (J59*100)/SQRT(Q59)</f>
        <v>0.45170527307150177</v>
      </c>
      <c r="I59" s="4">
        <f t="shared" ref="I59:I68" si="14">1.96 * (J59*100)/SQRT(Q59)</f>
        <v>0.45170527307150177</v>
      </c>
      <c r="J59" s="4">
        <v>1.7851499999999999E-2</v>
      </c>
      <c r="K59" s="4">
        <v>6.1183341000000002</v>
      </c>
      <c r="L59" s="4">
        <v>0.49432454999999997</v>
      </c>
      <c r="M59" s="4">
        <v>1.6732505900000001</v>
      </c>
      <c r="N59" s="4">
        <v>0.11208527</v>
      </c>
      <c r="O59" s="4">
        <v>0.41332464499999999</v>
      </c>
      <c r="P59" s="4">
        <v>4.0589849999999998</v>
      </c>
      <c r="Q59" s="4">
        <v>60</v>
      </c>
      <c r="R59" s="9">
        <v>0.98299999999999998</v>
      </c>
    </row>
    <row r="60" spans="1:18" x14ac:dyDescent="0.2">
      <c r="B60" s="2">
        <v>0.1</v>
      </c>
      <c r="C60" s="3">
        <v>0.65</v>
      </c>
      <c r="D60" s="11">
        <f t="shared" si="12"/>
        <v>1.4069204</v>
      </c>
      <c r="E60" s="4">
        <v>1.4069204E-2</v>
      </c>
      <c r="F60" s="4">
        <v>7.7220150000000001E-2</v>
      </c>
      <c r="G60" s="4">
        <v>1.6637999999999999E-4</v>
      </c>
      <c r="H60" s="4">
        <f t="shared" si="13"/>
        <v>0.45170527307150177</v>
      </c>
      <c r="I60" s="4">
        <f t="shared" si="14"/>
        <v>0.45170527307150177</v>
      </c>
      <c r="J60" s="4">
        <v>1.7851499999999999E-2</v>
      </c>
      <c r="K60" s="4">
        <v>6.1183341000000002</v>
      </c>
      <c r="L60" s="4">
        <v>0.49432454999999997</v>
      </c>
      <c r="M60" s="4">
        <v>1.6732505900000001</v>
      </c>
      <c r="N60" s="4">
        <v>0.11208527</v>
      </c>
      <c r="O60" s="4">
        <v>0.41332464499999999</v>
      </c>
      <c r="P60" s="4">
        <v>4.0589849999999998</v>
      </c>
      <c r="Q60" s="4">
        <v>60</v>
      </c>
      <c r="R60" s="9">
        <v>0.98299999999999998</v>
      </c>
    </row>
    <row r="61" spans="1:18" x14ac:dyDescent="0.2">
      <c r="B61" s="2">
        <v>0.15</v>
      </c>
      <c r="C61" s="3">
        <v>0.67</v>
      </c>
      <c r="D61" s="11">
        <f t="shared" si="12"/>
        <v>2.0351789</v>
      </c>
      <c r="E61" s="4">
        <v>2.0351788999999999E-2</v>
      </c>
      <c r="F61" s="4">
        <v>9.9250649999999996E-2</v>
      </c>
      <c r="G61" s="4">
        <v>1.4065E-4</v>
      </c>
      <c r="H61" s="4">
        <f t="shared" si="13"/>
        <v>0.6572260483620681</v>
      </c>
      <c r="I61" s="4">
        <f t="shared" si="14"/>
        <v>0.6572260483620681</v>
      </c>
      <c r="J61" s="4">
        <v>2.597373E-2</v>
      </c>
      <c r="K61" s="4">
        <v>5.9863999999999997</v>
      </c>
      <c r="L61" s="4">
        <v>0.47579263999999999</v>
      </c>
      <c r="M61" s="4">
        <v>1.6743059600000001</v>
      </c>
      <c r="N61" s="4">
        <v>0.12184623</v>
      </c>
      <c r="O61" s="4">
        <v>0.38752673500000001</v>
      </c>
      <c r="P61" s="4">
        <v>3.9258947370000001</v>
      </c>
      <c r="Q61" s="4">
        <v>60</v>
      </c>
      <c r="R61" s="9">
        <v>0.98299999999999998</v>
      </c>
    </row>
    <row r="62" spans="1:18" x14ac:dyDescent="0.2">
      <c r="B62" s="2">
        <v>0.2</v>
      </c>
      <c r="C62" s="3">
        <v>0.63</v>
      </c>
      <c r="D62" s="11">
        <f t="shared" si="12"/>
        <v>1.6864706</v>
      </c>
      <c r="E62" s="4">
        <v>1.6864706E-2</v>
      </c>
      <c r="F62" s="4">
        <v>8.5812760000000002E-2</v>
      </c>
      <c r="G62" s="4">
        <v>1.3430000000000001E-4</v>
      </c>
      <c r="H62" s="4">
        <f t="shared" si="13"/>
        <v>0.53264557463695328</v>
      </c>
      <c r="I62" s="4">
        <f t="shared" si="14"/>
        <v>0.53264557463695328</v>
      </c>
      <c r="J62" s="4">
        <v>2.1050280000000001E-2</v>
      </c>
      <c r="K62" s="4">
        <v>5.8243947399999998</v>
      </c>
      <c r="L62" s="4">
        <v>0.43917034999999999</v>
      </c>
      <c r="M62" s="4">
        <v>1.5567731600000001</v>
      </c>
      <c r="N62" s="4">
        <v>0.10546086</v>
      </c>
      <c r="O62" s="4">
        <v>0.37384972100000002</v>
      </c>
      <c r="P62" s="4">
        <v>3.7186499999999998</v>
      </c>
      <c r="Q62" s="4">
        <v>60</v>
      </c>
      <c r="R62" s="9">
        <v>0.96699999999999997</v>
      </c>
    </row>
    <row r="63" spans="1:18" x14ac:dyDescent="0.2">
      <c r="B63" s="2">
        <v>0.25</v>
      </c>
      <c r="C63" s="3">
        <v>0.67</v>
      </c>
      <c r="D63" s="11">
        <f t="shared" si="12"/>
        <v>1.6443722000000001</v>
      </c>
      <c r="E63" s="4">
        <v>1.6443722000000001E-2</v>
      </c>
      <c r="F63" s="4">
        <v>7.7955570000000002E-2</v>
      </c>
      <c r="G63" s="11">
        <v>2.92E-6</v>
      </c>
      <c r="H63" s="4">
        <f t="shared" si="13"/>
        <v>0.5064309047237916</v>
      </c>
      <c r="I63" s="4">
        <f t="shared" si="14"/>
        <v>0.5064309047237916</v>
      </c>
      <c r="J63" s="4">
        <v>2.0014270000000001E-2</v>
      </c>
      <c r="K63" s="4">
        <v>5.7071500000000004</v>
      </c>
      <c r="L63" s="4">
        <v>0.43675935999999999</v>
      </c>
      <c r="M63" s="4">
        <v>1.4320707500000001</v>
      </c>
      <c r="N63" s="4">
        <v>0.13080544</v>
      </c>
      <c r="O63" s="4">
        <v>0.34577877899999998</v>
      </c>
      <c r="P63" s="4">
        <v>2.7246666670000002</v>
      </c>
      <c r="Q63" s="4">
        <v>60</v>
      </c>
      <c r="R63" s="9">
        <v>0.96699999999999997</v>
      </c>
    </row>
    <row r="64" spans="1:18" x14ac:dyDescent="0.2">
      <c r="B64" s="2">
        <v>0.3</v>
      </c>
      <c r="C64" s="3">
        <v>0.65</v>
      </c>
      <c r="D64" s="11">
        <f t="shared" si="12"/>
        <v>1.8468814999999998</v>
      </c>
      <c r="E64" s="4">
        <v>1.8468815E-2</v>
      </c>
      <c r="F64" s="4">
        <v>7.8778829999999994E-2</v>
      </c>
      <c r="G64" s="4">
        <v>4.0486999999999999E-4</v>
      </c>
      <c r="H64" s="4">
        <f t="shared" si="13"/>
        <v>0.5658634918082166</v>
      </c>
      <c r="I64" s="4">
        <f t="shared" si="14"/>
        <v>0.5658634918082166</v>
      </c>
      <c r="J64" s="4">
        <v>2.2363060000000001E-2</v>
      </c>
      <c r="K64" s="4">
        <v>5.3951802600000001</v>
      </c>
      <c r="L64" s="4">
        <v>0.42750976000000002</v>
      </c>
      <c r="M64" s="4">
        <v>1.1276481700000001</v>
      </c>
      <c r="N64" s="4">
        <v>0.10463553</v>
      </c>
      <c r="O64" s="4">
        <v>0.30484689799999998</v>
      </c>
      <c r="P64" s="4">
        <v>2.200589474</v>
      </c>
      <c r="Q64" s="4">
        <v>60</v>
      </c>
      <c r="R64" s="9">
        <v>0.96699999999999997</v>
      </c>
    </row>
    <row r="65" spans="1:18" x14ac:dyDescent="0.2">
      <c r="B65" s="2">
        <v>0.35</v>
      </c>
      <c r="C65" s="3">
        <v>0.6</v>
      </c>
      <c r="D65" s="11">
        <f t="shared" si="12"/>
        <v>2.3875683000000003</v>
      </c>
      <c r="E65" s="4">
        <v>2.3875683000000002E-2</v>
      </c>
      <c r="F65" s="4">
        <v>9.9592239999999999E-2</v>
      </c>
      <c r="G65" s="11">
        <v>8.632E-5</v>
      </c>
      <c r="H65" s="4">
        <f t="shared" si="13"/>
        <v>0.75470749515674795</v>
      </c>
      <c r="I65" s="4">
        <f t="shared" si="14"/>
        <v>0.75470749515674795</v>
      </c>
      <c r="J65" s="4">
        <v>2.9826220000000001E-2</v>
      </c>
      <c r="K65" s="4">
        <v>5.4655114300000003</v>
      </c>
      <c r="L65" s="4">
        <v>0.47318986000000002</v>
      </c>
      <c r="M65" s="4">
        <v>1.18353957</v>
      </c>
      <c r="N65" s="4">
        <v>0.11908665</v>
      </c>
      <c r="O65" s="4">
        <v>0.28819341199999998</v>
      </c>
      <c r="P65" s="4">
        <v>1.798605</v>
      </c>
      <c r="Q65" s="4">
        <v>60</v>
      </c>
      <c r="R65" s="9">
        <v>0.91700000000000004</v>
      </c>
    </row>
    <row r="66" spans="1:18" x14ac:dyDescent="0.2">
      <c r="B66" s="2">
        <v>0.4</v>
      </c>
      <c r="C66" s="3">
        <v>0.52</v>
      </c>
      <c r="D66" s="11">
        <f t="shared" si="12"/>
        <v>1.9059673999999998</v>
      </c>
      <c r="E66" s="4">
        <v>1.9059673999999999E-2</v>
      </c>
      <c r="F66" s="4">
        <v>9.8410639999999994E-2</v>
      </c>
      <c r="G66" s="4">
        <v>3.6035E-4</v>
      </c>
      <c r="H66" s="4">
        <f t="shared" si="13"/>
        <v>0.69527971573565017</v>
      </c>
      <c r="I66" s="4">
        <f t="shared" si="14"/>
        <v>0.69527971573565017</v>
      </c>
      <c r="J66" s="4">
        <v>2.7477620000000001E-2</v>
      </c>
      <c r="K66" s="4">
        <v>5.3095333299999998</v>
      </c>
      <c r="L66" s="4">
        <v>0.51097903</v>
      </c>
      <c r="M66" s="4">
        <v>1.2218385199999999</v>
      </c>
      <c r="N66" s="4">
        <v>0.10105631</v>
      </c>
      <c r="O66" s="4">
        <v>0.32782481000000002</v>
      </c>
      <c r="P66" s="4">
        <v>1.6873636359999999</v>
      </c>
      <c r="Q66" s="4">
        <v>60</v>
      </c>
      <c r="R66" s="9">
        <v>0.86699999999999999</v>
      </c>
    </row>
    <row r="67" spans="1:18" x14ac:dyDescent="0.2">
      <c r="B67" s="2">
        <v>0.5</v>
      </c>
      <c r="C67" s="3">
        <v>0.43</v>
      </c>
      <c r="D67" s="11">
        <f t="shared" si="12"/>
        <v>2.0979207</v>
      </c>
      <c r="E67" s="4">
        <v>2.0979207E-2</v>
      </c>
      <c r="F67" s="4">
        <v>7.952099E-2</v>
      </c>
      <c r="G67" s="11">
        <v>3.9749999999999997E-5</v>
      </c>
      <c r="H67" s="4">
        <f t="shared" si="13"/>
        <v>0.67374315527466111</v>
      </c>
      <c r="I67" s="4">
        <f t="shared" si="14"/>
        <v>0.67374315527466111</v>
      </c>
      <c r="J67" s="4">
        <v>2.6626489999999999E-2</v>
      </c>
      <c r="K67" s="4">
        <v>4.6962721700000003</v>
      </c>
      <c r="L67" s="4">
        <v>0.55230466</v>
      </c>
      <c r="M67" s="4">
        <v>1.3059414</v>
      </c>
      <c r="N67" s="4">
        <v>0.1110529</v>
      </c>
      <c r="O67" s="4">
        <v>0.35604722</v>
      </c>
      <c r="P67" s="4">
        <v>1.8878964709999999</v>
      </c>
      <c r="Q67" s="4">
        <v>60</v>
      </c>
      <c r="R67" s="9">
        <v>0.66700000000000004</v>
      </c>
    </row>
    <row r="68" spans="1:18" x14ac:dyDescent="0.2">
      <c r="B68" s="2">
        <v>0.75</v>
      </c>
      <c r="C68" s="3">
        <v>0.17</v>
      </c>
      <c r="D68" s="11">
        <f t="shared" si="12"/>
        <v>4.0705817</v>
      </c>
      <c r="E68" s="4">
        <v>4.0705816999999998E-2</v>
      </c>
      <c r="F68" s="4">
        <v>7.9580499999999998E-2</v>
      </c>
      <c r="G68" s="4">
        <v>1.0103620000000001E-2</v>
      </c>
      <c r="H68" s="4">
        <f t="shared" si="13"/>
        <v>0.60430632687638119</v>
      </c>
      <c r="I68" s="4">
        <f t="shared" si="14"/>
        <v>0.60430632687638119</v>
      </c>
      <c r="J68" s="4">
        <v>2.388233E-2</v>
      </c>
      <c r="K68" s="4">
        <v>4.1040000000000001</v>
      </c>
      <c r="L68" s="4">
        <v>0.67522908000000004</v>
      </c>
      <c r="M68" s="4">
        <v>1.4831742800000001</v>
      </c>
      <c r="N68" s="4">
        <v>0.14935607000000001</v>
      </c>
      <c r="O68" s="4">
        <v>0.39077350799999999</v>
      </c>
      <c r="P68" s="4">
        <v>0.66400000000000003</v>
      </c>
      <c r="Q68" s="4">
        <v>60</v>
      </c>
      <c r="R68" s="9">
        <v>0.05</v>
      </c>
    </row>
    <row r="69" spans="1:18" x14ac:dyDescent="0.2">
      <c r="B69" s="2">
        <v>1</v>
      </c>
      <c r="C69" s="3" t="e">
        <v>#DIV/0!</v>
      </c>
      <c r="D69" s="11" t="e">
        <f t="shared" si="12"/>
        <v>#DIV/0!</v>
      </c>
      <c r="E69" s="4" t="e">
        <v>#DIV/0!</v>
      </c>
      <c r="F69" s="4">
        <v>0</v>
      </c>
      <c r="G69" s="4">
        <v>0</v>
      </c>
      <c r="H69" s="4"/>
      <c r="I69" s="4"/>
      <c r="J69" s="4" t="e">
        <v>#DIV/0!</v>
      </c>
      <c r="K69" s="4" t="e">
        <v>#DIV/0!</v>
      </c>
      <c r="L69" s="4" t="e">
        <v>#DIV/0!</v>
      </c>
      <c r="M69" s="4">
        <v>0</v>
      </c>
      <c r="N69" s="4">
        <v>0</v>
      </c>
      <c r="O69" s="4" t="e">
        <v>#DIV/0!</v>
      </c>
      <c r="P69" s="4" t="e">
        <v>#DIV/0!</v>
      </c>
      <c r="Q69" s="4">
        <v>0</v>
      </c>
      <c r="R69" s="9" t="e">
        <v>#VALUE!</v>
      </c>
    </row>
    <row r="70" spans="1:18" x14ac:dyDescent="0.2">
      <c r="B70" s="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">
      <c r="D71" t="s">
        <v>22</v>
      </c>
      <c r="E71" t="s">
        <v>23</v>
      </c>
      <c r="F71" t="s">
        <v>24</v>
      </c>
      <c r="G71" t="s">
        <v>25</v>
      </c>
      <c r="H71" t="s">
        <v>26</v>
      </c>
      <c r="I71" t="s">
        <v>29</v>
      </c>
      <c r="J71" t="s">
        <v>27</v>
      </c>
      <c r="L71" t="s">
        <v>30</v>
      </c>
      <c r="M71" t="s">
        <v>28</v>
      </c>
      <c r="N71" t="s">
        <v>31</v>
      </c>
      <c r="P71" t="s">
        <v>32</v>
      </c>
    </row>
    <row r="72" spans="1:18" x14ac:dyDescent="0.2">
      <c r="A72" t="s">
        <v>19</v>
      </c>
      <c r="B72" s="2">
        <v>0</v>
      </c>
      <c r="C72" s="7">
        <f>AVERAGE(C58,C44,C30,C16,C2)</f>
        <v>0.76666666666666661</v>
      </c>
      <c r="D72" s="10">
        <f>AVERAGE(D58,D44,D30,D16,D2)</f>
        <v>1.5163410249720404</v>
      </c>
      <c r="E72">
        <f>AVERAGE(J2,J16,J30,J44,J58)*100</f>
        <v>1.9037389113909267</v>
      </c>
      <c r="F72">
        <f>Q2+Q16+Q30+Q44+Q58</f>
        <v>300</v>
      </c>
      <c r="G72">
        <f xml:space="preserve"> 1.96*E72/SQRT(F72)</f>
        <v>0.21542833789983004</v>
      </c>
      <c r="H72">
        <f xml:space="preserve"> 1.96*E72/SQRT(F72)</f>
        <v>0.21542833789983004</v>
      </c>
      <c r="I72">
        <f>MIN(K2,K16,K30,K44,K58)</f>
        <v>5.4078084210526214</v>
      </c>
      <c r="J72">
        <f>AVERAGE(K2,K16,K30,K44,K58)</f>
        <v>5.9651243732467014</v>
      </c>
      <c r="K72">
        <f>MAX(K2,K16,K30,K44,K58)</f>
        <v>6.8859429268292525</v>
      </c>
      <c r="L72">
        <f>MIN(P2,P16,P30,P44,P58)</f>
        <v>2.4221999999999699</v>
      </c>
      <c r="M72">
        <f t="shared" ref="M72:M81" si="15">AVERAGE(P2,P16,P30,P44,P58)</f>
        <v>3.3788767003467699</v>
      </c>
      <c r="N72">
        <f>MAX(P2,P16,P30,P44,P58)</f>
        <v>4.0728666670000004</v>
      </c>
      <c r="P72" s="8">
        <f>AVERAGE(R2,R16,R30,R44,R58)</f>
        <v>0.97660000000000002</v>
      </c>
    </row>
    <row r="73" spans="1:18" x14ac:dyDescent="0.2">
      <c r="B73" s="2">
        <v>0.05</v>
      </c>
      <c r="C73" s="7">
        <f t="shared" ref="C73:D83" si="16">AVERAGE(C59,C45,C31,C17,C3)</f>
        <v>0.77333333333333332</v>
      </c>
      <c r="D73" s="10">
        <f t="shared" si="16"/>
        <v>1.4755740659355578</v>
      </c>
      <c r="E73">
        <f t="shared" ref="E73:E82" si="17">AVERAGE(J3,J17,J31,J45,J59)*100</f>
        <v>1.8534476476391468</v>
      </c>
      <c r="F73">
        <f t="shared" ref="F73:F82" si="18">Q3+Q17+Q31+Q45+Q59</f>
        <v>300</v>
      </c>
      <c r="G73">
        <f t="shared" ref="G73:G82" si="19" xml:space="preserve"> 1.96*E73/SQRT(F73)</f>
        <v>0.20973734566549462</v>
      </c>
      <c r="H73">
        <f t="shared" ref="H73:H82" si="20" xml:space="preserve"> 1.96*E73/SQRT(F73)</f>
        <v>0.20973734566549462</v>
      </c>
      <c r="I73">
        <f t="shared" ref="I73:I83" si="21">MIN(K3,K17,K31,K45,K59)</f>
        <v>5.2523788461538725</v>
      </c>
      <c r="J73">
        <f t="shared" ref="J73:J83" si="22">AVERAGE(K3,K17,K31,K45,K59)</f>
        <v>5.8651407654452585</v>
      </c>
      <c r="K73">
        <f t="shared" ref="K73:K83" si="23">MAX(K3,K17,K31,K45,K59)</f>
        <v>6.3588837837837557</v>
      </c>
      <c r="L73">
        <f t="shared" ref="L73:L81" si="24">MIN(P3,P17,P31,P45,P59)</f>
        <v>2.2783999999999098</v>
      </c>
      <c r="M73">
        <f t="shared" si="15"/>
        <v>3.4545536633366334</v>
      </c>
      <c r="N73">
        <f t="shared" ref="N73:N81" si="25">MAX(P3,P17,P31,P45,P59)</f>
        <v>4.5900846153846642</v>
      </c>
      <c r="P73" s="8">
        <f t="shared" ref="P73:P83" si="26">AVERAGE(R3,R17,R31,R45,R59)</f>
        <v>0.97326666666666672</v>
      </c>
    </row>
    <row r="74" spans="1:18" x14ac:dyDescent="0.2">
      <c r="B74" s="2">
        <v>0.1</v>
      </c>
      <c r="C74" s="7">
        <f t="shared" si="16"/>
        <v>0.79666666666666663</v>
      </c>
      <c r="D74" s="10">
        <f t="shared" si="16"/>
        <v>1.6058248005801605</v>
      </c>
      <c r="E74">
        <f t="shared" si="17"/>
        <v>2.0276268924892142</v>
      </c>
      <c r="F74">
        <f t="shared" si="18"/>
        <v>300</v>
      </c>
      <c r="G74">
        <f t="shared" si="19"/>
        <v>0.22944758271017532</v>
      </c>
      <c r="H74">
        <f t="shared" si="20"/>
        <v>0.22944758271017532</v>
      </c>
      <c r="I74">
        <f t="shared" si="21"/>
        <v>5.6016021052631606</v>
      </c>
      <c r="J74">
        <f t="shared" si="22"/>
        <v>6.0325514162662968</v>
      </c>
      <c r="K74">
        <f t="shared" si="23"/>
        <v>6.4990822222221833</v>
      </c>
      <c r="L74">
        <f t="shared" si="24"/>
        <v>2.2320000000001898</v>
      </c>
      <c r="M74">
        <f t="shared" si="15"/>
        <v>3.5234659473684538</v>
      </c>
      <c r="N74">
        <f t="shared" si="25"/>
        <v>4.6002166666666602</v>
      </c>
      <c r="P74" s="8">
        <f t="shared" si="26"/>
        <v>0.96660000000000001</v>
      </c>
    </row>
    <row r="75" spans="1:18" x14ac:dyDescent="0.2">
      <c r="B75" s="2">
        <v>0.15</v>
      </c>
      <c r="C75" s="7">
        <f t="shared" si="16"/>
        <v>0.79666666666666663</v>
      </c>
      <c r="D75" s="10">
        <f t="shared" si="16"/>
        <v>1.7813591789160768</v>
      </c>
      <c r="E75">
        <f t="shared" si="17"/>
        <v>2.2088815159629385</v>
      </c>
      <c r="F75">
        <f t="shared" si="18"/>
        <v>300</v>
      </c>
      <c r="G75">
        <f t="shared" si="19"/>
        <v>0.24995847421844142</v>
      </c>
      <c r="H75">
        <f t="shared" si="20"/>
        <v>0.24995847421844142</v>
      </c>
      <c r="I75">
        <f t="shared" si="21"/>
        <v>5.2002105263157183</v>
      </c>
      <c r="J75">
        <f t="shared" si="22"/>
        <v>6.4684934929211551</v>
      </c>
      <c r="K75">
        <f t="shared" si="23"/>
        <v>9.4658648648649031</v>
      </c>
      <c r="L75">
        <f t="shared" si="24"/>
        <v>2.1759999999997</v>
      </c>
      <c r="M75">
        <f t="shared" si="15"/>
        <v>3.3837446616856353</v>
      </c>
      <c r="N75">
        <f t="shared" si="25"/>
        <v>4.5408999999998434</v>
      </c>
      <c r="P75" s="8">
        <f t="shared" si="26"/>
        <v>0.96326666666666649</v>
      </c>
    </row>
    <row r="76" spans="1:18" x14ac:dyDescent="0.2">
      <c r="B76" s="2">
        <v>0.2</v>
      </c>
      <c r="C76" s="7">
        <f t="shared" si="16"/>
        <v>0.78866666666666663</v>
      </c>
      <c r="D76" s="10">
        <f t="shared" si="16"/>
        <v>1.6631374657769835</v>
      </c>
      <c r="E76">
        <f t="shared" si="17"/>
        <v>1.9469171806666634</v>
      </c>
      <c r="F76">
        <f t="shared" si="18"/>
        <v>301</v>
      </c>
      <c r="G76">
        <f t="shared" si="19"/>
        <v>0.21994814377200189</v>
      </c>
      <c r="H76">
        <f t="shared" si="20"/>
        <v>0.21994814377200189</v>
      </c>
      <c r="I76">
        <f t="shared" si="21"/>
        <v>5.0057500000000124</v>
      </c>
      <c r="J76">
        <f t="shared" si="22"/>
        <v>5.7754882698715884</v>
      </c>
      <c r="K76">
        <f t="shared" si="23"/>
        <v>6.3362126530612501</v>
      </c>
      <c r="L76">
        <f t="shared" si="24"/>
        <v>2.3260000000000201</v>
      </c>
      <c r="M76">
        <f t="shared" si="15"/>
        <v>3.4812151127819226</v>
      </c>
      <c r="N76">
        <f t="shared" si="25"/>
        <v>4.3831999999998938</v>
      </c>
      <c r="P76" s="8">
        <f t="shared" si="26"/>
        <v>0.95006666666666661</v>
      </c>
    </row>
    <row r="77" spans="1:18" x14ac:dyDescent="0.2">
      <c r="B77" s="2">
        <v>0.25</v>
      </c>
      <c r="C77" s="7">
        <f t="shared" si="16"/>
        <v>0.79800000000000004</v>
      </c>
      <c r="D77" s="10">
        <f t="shared" si="16"/>
        <v>1.635421363918613</v>
      </c>
      <c r="E77">
        <f t="shared" si="17"/>
        <v>1.9863592837303699</v>
      </c>
      <c r="F77">
        <f t="shared" si="18"/>
        <v>300</v>
      </c>
      <c r="G77">
        <f t="shared" si="19"/>
        <v>0.22477771316513204</v>
      </c>
      <c r="H77">
        <f t="shared" si="20"/>
        <v>0.22477771316513204</v>
      </c>
      <c r="I77">
        <f t="shared" si="21"/>
        <v>4.8544363636363714</v>
      </c>
      <c r="J77">
        <f t="shared" si="22"/>
        <v>6.2195252822966394</v>
      </c>
      <c r="K77">
        <f t="shared" si="23"/>
        <v>9.6793863636363042</v>
      </c>
      <c r="L77">
        <f t="shared" si="24"/>
        <v>1.971166666666776</v>
      </c>
      <c r="M77">
        <f t="shared" si="15"/>
        <v>2.8357901961450329</v>
      </c>
      <c r="N77">
        <f t="shared" si="25"/>
        <v>4.1700000000001136</v>
      </c>
      <c r="P77" s="8">
        <f t="shared" si="26"/>
        <v>0.9300666666666666</v>
      </c>
    </row>
    <row r="78" spans="1:18" x14ac:dyDescent="0.2">
      <c r="B78" s="2">
        <v>0.3</v>
      </c>
      <c r="C78" s="7">
        <f t="shared" si="16"/>
        <v>0.77733333333333332</v>
      </c>
      <c r="D78" s="10">
        <f t="shared" si="16"/>
        <v>1.7045477658408665</v>
      </c>
      <c r="E78">
        <f t="shared" si="17"/>
        <v>2.058601613102963</v>
      </c>
      <c r="F78">
        <f t="shared" si="18"/>
        <v>300</v>
      </c>
      <c r="G78">
        <f t="shared" si="19"/>
        <v>0.2329527023139219</v>
      </c>
      <c r="H78">
        <f t="shared" si="20"/>
        <v>0.2329527023139219</v>
      </c>
      <c r="I78">
        <f t="shared" si="21"/>
        <v>4.5038973584905699</v>
      </c>
      <c r="J78">
        <f t="shared" si="22"/>
        <v>5.0629886233090717</v>
      </c>
      <c r="K78">
        <f t="shared" si="23"/>
        <v>5.4424434090908882</v>
      </c>
      <c r="L78">
        <f t="shared" si="24"/>
        <v>1.5026000000000541</v>
      </c>
      <c r="M78">
        <f t="shared" si="15"/>
        <v>2.2765801170223257</v>
      </c>
      <c r="N78">
        <f t="shared" si="25"/>
        <v>2.9142111111111975</v>
      </c>
      <c r="P78" s="8">
        <f t="shared" si="26"/>
        <v>0.9234</v>
      </c>
    </row>
    <row r="79" spans="1:18" x14ac:dyDescent="0.2">
      <c r="B79" s="2">
        <v>0.35</v>
      </c>
      <c r="C79" s="7">
        <f t="shared" si="16"/>
        <v>0.74066666666666658</v>
      </c>
      <c r="D79" s="10">
        <f t="shared" si="16"/>
        <v>2.0015073468096607</v>
      </c>
      <c r="E79">
        <f t="shared" si="17"/>
        <v>2.3240205735600328</v>
      </c>
      <c r="F79">
        <f t="shared" si="18"/>
        <v>300</v>
      </c>
      <c r="G79">
        <f t="shared" si="19"/>
        <v>0.26298768513443421</v>
      </c>
      <c r="H79">
        <f t="shared" si="20"/>
        <v>0.26298768513443421</v>
      </c>
      <c r="I79">
        <f t="shared" si="21"/>
        <v>4.1317580392156694</v>
      </c>
      <c r="J79">
        <f t="shared" si="22"/>
        <v>4.7778234271652789</v>
      </c>
      <c r="K79">
        <f t="shared" si="23"/>
        <v>5.4655114300000003</v>
      </c>
      <c r="L79">
        <f t="shared" si="24"/>
        <v>1.798605</v>
      </c>
      <c r="M79">
        <f t="shared" si="15"/>
        <v>2.1007849215685965</v>
      </c>
      <c r="N79">
        <f t="shared" si="25"/>
        <v>2.4920529411763677</v>
      </c>
      <c r="P79" s="8">
        <f t="shared" si="26"/>
        <v>0.88339999999999996</v>
      </c>
    </row>
    <row r="80" spans="1:18" x14ac:dyDescent="0.2">
      <c r="B80" s="2">
        <v>0.4</v>
      </c>
      <c r="C80" s="7">
        <f t="shared" si="16"/>
        <v>0.69133333333333336</v>
      </c>
      <c r="D80" s="10">
        <f t="shared" si="16"/>
        <v>2.0404733808689555</v>
      </c>
      <c r="E80">
        <f t="shared" si="17"/>
        <v>2.3734147752936092</v>
      </c>
      <c r="F80">
        <f t="shared" si="18"/>
        <v>300</v>
      </c>
      <c r="G80">
        <f t="shared" si="19"/>
        <v>0.26857716524522246</v>
      </c>
      <c r="H80">
        <f t="shared" si="20"/>
        <v>0.26857716524522246</v>
      </c>
      <c r="I80">
        <f t="shared" si="21"/>
        <v>3.5845599999999802</v>
      </c>
      <c r="J80">
        <f t="shared" si="22"/>
        <v>4.292245370545456</v>
      </c>
      <c r="K80">
        <f t="shared" si="23"/>
        <v>5.3095333299999998</v>
      </c>
      <c r="L80">
        <f t="shared" si="24"/>
        <v>1.17299999999977</v>
      </c>
      <c r="M80">
        <f t="shared" si="15"/>
        <v>1.5966937566116988</v>
      </c>
      <c r="N80">
        <f t="shared" si="25"/>
        <v>1.7096875000000553</v>
      </c>
      <c r="P80" s="8">
        <f t="shared" si="26"/>
        <v>0.84673333333333323</v>
      </c>
    </row>
    <row r="81" spans="2:16" x14ac:dyDescent="0.2">
      <c r="B81" s="2">
        <v>0.5</v>
      </c>
      <c r="C81" s="7">
        <f t="shared" si="16"/>
        <v>0.56333333333333324</v>
      </c>
      <c r="D81" s="10">
        <f t="shared" si="16"/>
        <v>2.1860250156561469</v>
      </c>
      <c r="E81">
        <f t="shared" si="17"/>
        <v>2.5839336667193686</v>
      </c>
      <c r="F81">
        <f t="shared" si="18"/>
        <v>300</v>
      </c>
      <c r="G81">
        <f t="shared" si="19"/>
        <v>0.2923996204175186</v>
      </c>
      <c r="H81">
        <f t="shared" si="20"/>
        <v>0.2923996204175186</v>
      </c>
      <c r="I81">
        <f t="shared" si="21"/>
        <v>2.4799929411764761</v>
      </c>
      <c r="J81">
        <f t="shared" si="22"/>
        <v>3.7143367368101914</v>
      </c>
      <c r="K81">
        <f t="shared" si="23"/>
        <v>4.6962721700000003</v>
      </c>
      <c r="L81">
        <f t="shared" si="24"/>
        <v>1.0189999999999999</v>
      </c>
      <c r="M81">
        <f t="shared" si="15"/>
        <v>1.4798771989619035</v>
      </c>
      <c r="N81">
        <f t="shared" si="25"/>
        <v>1.9451328571428526</v>
      </c>
      <c r="P81" s="8">
        <f t="shared" si="26"/>
        <v>0.59673333333333323</v>
      </c>
    </row>
    <row r="82" spans="2:16" x14ac:dyDescent="0.2">
      <c r="B82" s="2">
        <v>0.75</v>
      </c>
      <c r="C82" s="7">
        <f t="shared" si="16"/>
        <v>0.35399999999999998</v>
      </c>
      <c r="D82" s="10">
        <f t="shared" si="16"/>
        <v>3.6951949947712399</v>
      </c>
      <c r="E82">
        <f t="shared" si="17"/>
        <v>2.6878997649406609</v>
      </c>
      <c r="F82">
        <f t="shared" si="18"/>
        <v>300</v>
      </c>
      <c r="G82">
        <f t="shared" si="19"/>
        <v>0.30416449195727158</v>
      </c>
      <c r="H82">
        <f t="shared" si="20"/>
        <v>0.30416449195727158</v>
      </c>
      <c r="I82">
        <f t="shared" si="21"/>
        <v>0.54599999999993498</v>
      </c>
      <c r="J82">
        <f t="shared" si="22"/>
        <v>2.0857499999999485</v>
      </c>
      <c r="K82">
        <f t="shared" si="23"/>
        <v>4.1040000000000001</v>
      </c>
      <c r="L82">
        <f t="shared" ref="L82:L83" si="27">MIN(P12,P26,P40,P54,P68)</f>
        <v>0.66400000000000003</v>
      </c>
      <c r="M82">
        <f t="shared" ref="M82:M83" si="28">AVERAGE(P12,P26,P40,P54,P68)</f>
        <v>0.9440333333333446</v>
      </c>
      <c r="N82">
        <f t="shared" ref="N82:N83" si="29">MAX(P12,P26,P40,P54,P68)</f>
        <v>1.1452500000000296</v>
      </c>
      <c r="P82" s="8">
        <f t="shared" si="26"/>
        <v>4.6666666666666669E-2</v>
      </c>
    </row>
    <row r="83" spans="2:16" x14ac:dyDescent="0.2">
      <c r="B83" s="2">
        <v>1</v>
      </c>
      <c r="C83" s="7" t="e">
        <f t="shared" si="16"/>
        <v>#DIV/0!</v>
      </c>
      <c r="D83" s="7" t="e">
        <f t="shared" si="16"/>
        <v>#DIV/0!</v>
      </c>
      <c r="E83" t="e">
        <f t="shared" ref="E83" si="30">AVERAGE(J13,J27,J41,J55,J69)*100</f>
        <v>#DIV/0!</v>
      </c>
      <c r="F83">
        <f t="shared" ref="F83" si="31">Q13+Q27+Q41+Q55+Q69</f>
        <v>0</v>
      </c>
      <c r="G83" t="e">
        <f t="shared" ref="G83" si="32" xml:space="preserve"> 1.96*E83/SQRT(F83)</f>
        <v>#DIV/0!</v>
      </c>
      <c r="H83" t="e">
        <f t="shared" ref="H83" si="33" xml:space="preserve"> 1.96*E83/SQRT(F83)</f>
        <v>#DIV/0!</v>
      </c>
      <c r="I83" t="e">
        <f t="shared" si="21"/>
        <v>#DIV/0!</v>
      </c>
      <c r="J83" t="e">
        <f t="shared" si="22"/>
        <v>#DIV/0!</v>
      </c>
      <c r="K83" t="e">
        <f t="shared" si="23"/>
        <v>#DIV/0!</v>
      </c>
      <c r="L83" t="e">
        <f t="shared" si="27"/>
        <v>#DIV/0!</v>
      </c>
      <c r="M83" t="e">
        <f t="shared" si="28"/>
        <v>#DIV/0!</v>
      </c>
      <c r="N83" t="e">
        <f t="shared" si="29"/>
        <v>#DIV/0!</v>
      </c>
      <c r="P83" s="8" t="e">
        <f t="shared" si="26"/>
        <v>#VALUE!</v>
      </c>
    </row>
    <row r="84" spans="2:16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6" x14ac:dyDescent="0.2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</row>
    <row r="86" spans="2:16" x14ac:dyDescent="0.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</row>
    <row r="87" spans="2:16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</row>
    <row r="88" spans="2:16" x14ac:dyDescent="0.2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</row>
    <row r="89" spans="2:16" x14ac:dyDescent="0.2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</row>
    <row r="90" spans="2:16" x14ac:dyDescent="0.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</row>
    <row r="91" spans="2:16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</row>
    <row r="92" spans="2:16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</row>
    <row r="93" spans="2:16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</row>
    <row r="94" spans="2:16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</row>
    <row r="95" spans="2:16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Summary</vt:lpstr>
      <vt:lpstr>Probs</vt:lpstr>
      <vt:lpstr>0.175</vt:lpstr>
      <vt:lpstr>PerUser</vt:lpstr>
      <vt:lpstr>PerTarget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2020-02-27T17:40:24Z</dcterms:created>
  <dcterms:modified xsi:type="dcterms:W3CDTF">2020-05-01T15:34:08Z</dcterms:modified>
</cp:coreProperties>
</file>